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680" windowWidth="11310" windowHeight="6135" tabRatio="874" firstSheet="4" activeTab="17"/>
  </bookViews>
  <sheets>
    <sheet name="1(概要),2(健康手帳)" sheetId="1" r:id="rId1"/>
    <sheet name="3(生活習慣病重症化予防事業)4（健康教育）" sheetId="2" r:id="rId2"/>
    <sheet name="4(健康教育）5(健康相談）6（訪問) " sheetId="3" r:id="rId3"/>
    <sheet name="7(検診)ab" sheetId="4" r:id="rId4"/>
    <sheet name="7c12" sheetId="5" r:id="rId5"/>
    <sheet name="7d12345" sheetId="6" r:id="rId6"/>
    <sheet name="7e1" sheetId="7" r:id="rId7"/>
    <sheet name="7e23" sheetId="8" r:id="rId8"/>
    <sheet name="7e4" sheetId="9" r:id="rId9"/>
    <sheet name="7e5" sheetId="10" r:id="rId10"/>
    <sheet name="7e67" sheetId="11" r:id="rId11"/>
    <sheet name="7e89" sheetId="12" r:id="rId12"/>
    <sheet name="7e101112" sheetId="13" r:id="rId13"/>
    <sheet name="7f12" sheetId="14" r:id="rId14"/>
    <sheet name="7ｆ34" sheetId="15" r:id="rId15"/>
    <sheet name="7ｆ56" sheetId="16" r:id="rId16"/>
    <sheet name="7f78" sheetId="17" r:id="rId17"/>
    <sheet name="7f910" sheetId="18" r:id="rId18"/>
    <sheet name="7f1112" sheetId="19" r:id="rId19"/>
    <sheet name="8" sheetId="20" r:id="rId20"/>
  </sheets>
  <definedNames>
    <definedName name="_xlnm.Print_Area" localSheetId="1">'3(生活習慣病重症化予防事業)4（健康教育）'!$A$1:$Q$43</definedName>
    <definedName name="_xlnm.Print_Area" localSheetId="2">'4(健康教育）5(健康相談）6（訪問) '!$A$1:$L$44</definedName>
    <definedName name="_xlnm.Print_Area" localSheetId="3">'7(検診)ab'!$A$1:$F$33</definedName>
    <definedName name="_xlnm.Print_Area" localSheetId="4">'7c12'!$A$1:$H$126</definedName>
    <definedName name="_xlnm.Print_Area" localSheetId="5">'7d12345'!$A$1:$J$53</definedName>
    <definedName name="_xlnm.Print_Area" localSheetId="7">'7e23'!$A$1:$AA$31</definedName>
    <definedName name="_xlnm.Print_Area" localSheetId="19">'8'!$A$1:$L$24</definedName>
  </definedNames>
  <calcPr fullCalcOnLoad="1"/>
</workbook>
</file>

<file path=xl/comments6.xml><?xml version="1.0" encoding="utf-8"?>
<comments xmlns="http://schemas.openxmlformats.org/spreadsheetml/2006/main">
  <authors>
    <author>user</author>
  </authors>
  <commentList>
    <comment ref="E4" authorId="0">
      <text>
        <r>
          <rPr>
            <b/>
            <sz val="9"/>
            <rFont val="ＭＳ Ｐゴシック"/>
            <family val="3"/>
          </rPr>
          <t>user:</t>
        </r>
        <r>
          <rPr>
            <sz val="9"/>
            <rFont val="ＭＳ Ｐゴシック"/>
            <family val="3"/>
          </rPr>
          <t xml:space="preserve">
内視鏡、X線の受診者数
（PG除く）</t>
        </r>
      </text>
    </comment>
    <comment ref="E7" authorId="0">
      <text>
        <r>
          <rPr>
            <b/>
            <sz val="9"/>
            <rFont val="ＭＳ Ｐゴシック"/>
            <family val="3"/>
          </rPr>
          <t>user:</t>
        </r>
        <r>
          <rPr>
            <sz val="9"/>
            <rFont val="ＭＳ Ｐゴシック"/>
            <family val="3"/>
          </rPr>
          <t xml:space="preserve">
胸部X線の受診者数
（CT除く）</t>
        </r>
      </text>
    </comment>
  </commentList>
</comments>
</file>

<file path=xl/comments7.xml><?xml version="1.0" encoding="utf-8"?>
<comments xmlns="http://schemas.openxmlformats.org/spreadsheetml/2006/main">
  <authors>
    <author>kndp</author>
  </authors>
  <commentList>
    <comment ref="F7" authorId="0">
      <text>
        <r>
          <rPr>
            <sz val="9"/>
            <rFont val="ＭＳ Ｐゴシック"/>
            <family val="3"/>
          </rPr>
          <t xml:space="preserve">Ｘ線検査とＣＴ検査の数を足す
</t>
        </r>
      </text>
    </comment>
  </commentList>
</comments>
</file>

<file path=xl/sharedStrings.xml><?xml version="1.0" encoding="utf-8"?>
<sst xmlns="http://schemas.openxmlformats.org/spreadsheetml/2006/main" count="1560" uniqueCount="650">
  <si>
    <t>2-2　健康増進</t>
  </si>
  <si>
    <t>開設回数</t>
  </si>
  <si>
    <t>その他</t>
  </si>
  <si>
    <t>区分</t>
  </si>
  <si>
    <t>計</t>
  </si>
  <si>
    <t>事業の種類</t>
  </si>
  <si>
    <t>内容</t>
  </si>
  <si>
    <t>・保健指導や健康教育の記載</t>
  </si>
  <si>
    <t>平成13年度</t>
  </si>
  <si>
    <t>平成12年度</t>
  </si>
  <si>
    <t>平成14年度</t>
  </si>
  <si>
    <t>平成15年度</t>
  </si>
  <si>
    <t>平成16年度</t>
  </si>
  <si>
    <t>実施地区数</t>
  </si>
  <si>
    <t>実施開始地区</t>
  </si>
  <si>
    <t>内　　　　容</t>
  </si>
  <si>
    <t>生活習慣病予防相談</t>
  </si>
  <si>
    <t>ヘルシー食生活相談</t>
  </si>
  <si>
    <t>平成17年度</t>
  </si>
  <si>
    <t>押野・長坂台・浅野・瓢箪・長土塀・諸江・二塚・戸板</t>
  </si>
  <si>
    <t>喫煙習慣改善相談</t>
  </si>
  <si>
    <t>平成1８年度</t>
  </si>
  <si>
    <t>米泉・野町・長町・大野・浅野川・大浦</t>
  </si>
  <si>
    <t>すこやか検診</t>
  </si>
  <si>
    <t>集団検診</t>
  </si>
  <si>
    <t>対象者</t>
  </si>
  <si>
    <t>受診場所</t>
  </si>
  <si>
    <t>担当病院・医院</t>
  </si>
  <si>
    <t>受診期間</t>
  </si>
  <si>
    <t>受診方法</t>
  </si>
  <si>
    <t>内容</t>
  </si>
  <si>
    <t>対象者</t>
  </si>
  <si>
    <t>胸部X線検査、喀痰検査</t>
  </si>
  <si>
    <t>40、45、50、55～74歳</t>
  </si>
  <si>
    <t>X線検査（バリウム検査）</t>
  </si>
  <si>
    <t>ペプシノゲン検査</t>
  </si>
  <si>
    <t>大腸がん検診</t>
  </si>
  <si>
    <t>便潜血検査</t>
  </si>
  <si>
    <t>内診、細胞診検査</t>
  </si>
  <si>
    <t>前立腺がん検診</t>
  </si>
  <si>
    <t>PSA（前立腺特異抗原検査）</t>
  </si>
  <si>
    <t>B型、C型肝炎ウイルス検査</t>
  </si>
  <si>
    <t>聴力検診</t>
  </si>
  <si>
    <t>耳にレシーバーをあて測定機器の音を聴き取る</t>
  </si>
  <si>
    <t>骨粗しょう症検診</t>
  </si>
  <si>
    <t>X線や超音波などによる骨密度測定</t>
  </si>
  <si>
    <t>40,45,50,55,60,65,70歳の女性</t>
  </si>
  <si>
    <t>歯科検診</t>
  </si>
  <si>
    <t>区分</t>
  </si>
  <si>
    <t>男</t>
  </si>
  <si>
    <t>女</t>
  </si>
  <si>
    <t>要医療</t>
  </si>
  <si>
    <t>区分</t>
  </si>
  <si>
    <t>対象者</t>
  </si>
  <si>
    <t>受診者数</t>
  </si>
  <si>
    <t>要精検者</t>
  </si>
  <si>
    <t>要観察者</t>
  </si>
  <si>
    <t>すこやか検診</t>
  </si>
  <si>
    <t>集団検診</t>
  </si>
  <si>
    <t>乳がん検診</t>
  </si>
  <si>
    <t>肺がん検診</t>
  </si>
  <si>
    <t>大腸がん検診</t>
  </si>
  <si>
    <t>要指導者</t>
  </si>
  <si>
    <t>（骨粗しょう症）</t>
  </si>
  <si>
    <t>軽度難聴</t>
  </si>
  <si>
    <t>中度難聴</t>
  </si>
  <si>
    <t>高度難聴</t>
  </si>
  <si>
    <t>年齢区分</t>
  </si>
  <si>
    <t>検査せず</t>
  </si>
  <si>
    <t>異常なし</t>
  </si>
  <si>
    <t>男</t>
  </si>
  <si>
    <t>計</t>
  </si>
  <si>
    <t>女</t>
  </si>
  <si>
    <t>合計</t>
  </si>
  <si>
    <t>年齢区分</t>
  </si>
  <si>
    <t>異常なし</t>
  </si>
  <si>
    <t>性
別</t>
  </si>
  <si>
    <t>要指導</t>
  </si>
  <si>
    <t>判定不能</t>
  </si>
  <si>
    <t>精検受診者</t>
  </si>
  <si>
    <t>精密検査結果内訳</t>
  </si>
  <si>
    <t>胃がん</t>
  </si>
  <si>
    <t>胃がん疑い</t>
  </si>
  <si>
    <t>その他</t>
  </si>
  <si>
    <t>判定不能</t>
  </si>
  <si>
    <t>その他の疾患</t>
  </si>
  <si>
    <t>要経過観察者</t>
  </si>
  <si>
    <t>精検受診率（％）</t>
  </si>
  <si>
    <t>乳腺炎トル</t>
  </si>
  <si>
    <t>乳がん</t>
  </si>
  <si>
    <t>乳がん疑い</t>
  </si>
  <si>
    <t>乳腺症</t>
  </si>
  <si>
    <t>せんい腺腫</t>
  </si>
  <si>
    <t>性別</t>
  </si>
  <si>
    <t>肺がん総数</t>
  </si>
  <si>
    <t>原発性肺がん確定</t>
  </si>
  <si>
    <t>Ⅰ期</t>
  </si>
  <si>
    <t>Ⅱ期</t>
  </si>
  <si>
    <t>Ⅲ期</t>
  </si>
  <si>
    <t>Ⅳ期</t>
  </si>
  <si>
    <t>不明</t>
  </si>
  <si>
    <t>大腸がん</t>
  </si>
  <si>
    <t>ポリープ（腺腫）</t>
  </si>
  <si>
    <t>大腸憩室</t>
  </si>
  <si>
    <t>痔疾患</t>
  </si>
  <si>
    <t>年齢区分</t>
  </si>
  <si>
    <t>異常が認められない者</t>
  </si>
  <si>
    <t>前立腺がん</t>
  </si>
  <si>
    <t>前立腺がん疑い</t>
  </si>
  <si>
    <t>前立腺肥大症</t>
  </si>
  <si>
    <t>慢性前立腺炎</t>
  </si>
  <si>
    <t>軽度</t>
  </si>
  <si>
    <t>中度</t>
  </si>
  <si>
    <t>高度</t>
  </si>
  <si>
    <t>要指導者</t>
  </si>
  <si>
    <t>骨塩減</t>
  </si>
  <si>
    <t>45歳</t>
  </si>
  <si>
    <t>50歳</t>
  </si>
  <si>
    <t>55歳</t>
  </si>
  <si>
    <t>60歳</t>
  </si>
  <si>
    <t>65歳</t>
  </si>
  <si>
    <t>70歳</t>
  </si>
  <si>
    <t>異常が認め
られない者</t>
  </si>
  <si>
    <t>慢性肝炎</t>
  </si>
  <si>
    <t>肝硬変</t>
  </si>
  <si>
    <t>肝がん</t>
  </si>
  <si>
    <t>肝がん疑い</t>
  </si>
  <si>
    <t>無症候性キャリア</t>
  </si>
  <si>
    <t>検査結果内訳</t>
  </si>
  <si>
    <t>軽度難聴</t>
  </si>
  <si>
    <t>中度難聴</t>
  </si>
  <si>
    <t>高度難聴</t>
  </si>
  <si>
    <t>注：すこやか検診のみ</t>
  </si>
  <si>
    <t>平成19年度</t>
  </si>
  <si>
    <t>弥生・米丸・長田・芳斉</t>
  </si>
  <si>
    <t>胃 が ん 検 診</t>
  </si>
  <si>
    <t>乳 が ん 検 診</t>
  </si>
  <si>
    <t>緑内障検診</t>
  </si>
  <si>
    <t>細隙灯顕微鏡検査・眼底検査・眼圧検査</t>
  </si>
  <si>
    <t>緑内障</t>
  </si>
  <si>
    <t>緑内障疑い</t>
  </si>
  <si>
    <t>緑内障検診</t>
  </si>
  <si>
    <t>緑内障以外
の眼疾患</t>
  </si>
  <si>
    <t>要精検</t>
  </si>
  <si>
    <t>平成20年度</t>
  </si>
  <si>
    <t>田上・川北</t>
  </si>
  <si>
    <t>2-2-1　保健事業の概要</t>
  </si>
  <si>
    <t>・予防接種等の記録</t>
  </si>
  <si>
    <t xml:space="preserve">・ヘルシー食生活相談 </t>
  </si>
  <si>
    <t>出前健康講座</t>
  </si>
  <si>
    <t>特定健康診査</t>
  </si>
  <si>
    <t>金沢市国民健康保険加入者</t>
  </si>
  <si>
    <t>ペプシノゲン検査：75歳</t>
  </si>
  <si>
    <t>同左</t>
  </si>
  <si>
    <t>５５歳以上男性</t>
  </si>
  <si>
    <t>30,35,40,45,50歳の女性</t>
  </si>
  <si>
    <t>胃部内視鏡検査（胃カメラ）</t>
  </si>
  <si>
    <t>30歳</t>
  </si>
  <si>
    <t>35歳</t>
  </si>
  <si>
    <t xml:space="preserve"> 40歳</t>
  </si>
  <si>
    <t>歯科検診については、2-8-3-a  すこやか歯科検診（医療機関委託）に詳細記載</t>
  </si>
  <si>
    <t>　医療制度改革により、「基本健康診査」は「特定健康診査」となり、各医療保険者に実施義務が課せられた。がん検診等は従来どおり各市町が実施し、職場等で受診機会のない40歳（子宮がん検診は20歳）以上の市民を対象として疾病の早期発見と早期治療を図るため集団検診と個別検診を併用して各種検診を行っている。</t>
  </si>
  <si>
    <t>郵送された受診券と健康保険証を持参し、かかりつけ医を受診</t>
  </si>
  <si>
    <t>後期高齢者（長寿）医療制度加入者</t>
  </si>
  <si>
    <t>直接会場へ（肺がん、前立腺がんを除くがん検診は予約が必要）</t>
  </si>
  <si>
    <t>がん検診等
　就業していない特定年齢の方で、金沢市から受診券を送付された方</t>
  </si>
  <si>
    <t>性別</t>
  </si>
  <si>
    <t>糖</t>
  </si>
  <si>
    <t>心電図判定</t>
  </si>
  <si>
    <t>平成21年度</t>
  </si>
  <si>
    <t>十一屋・花園</t>
  </si>
  <si>
    <t>年度別・訪問実施状況</t>
  </si>
  <si>
    <t>（延人数）</t>
  </si>
  <si>
    <t>総　計</t>
  </si>
  <si>
    <t>肝炎ｳｲﾙｽ検査</t>
  </si>
  <si>
    <t>年　　　　　　　　度</t>
  </si>
  <si>
    <t xml:space="preserve">
　すこやか検診対象外の方で、職場等で受診機会のない方</t>
  </si>
  <si>
    <t>40歳以上の前年度未受診の女性</t>
  </si>
  <si>
    <t>65～74歳の前年度未受診者</t>
  </si>
  <si>
    <t>若年者検診</t>
  </si>
  <si>
    <t>18～39歳の方</t>
  </si>
  <si>
    <t>・生活習慣改善や健康管理に関する訪問指導</t>
  </si>
  <si>
    <t>若年者健康学習会</t>
  </si>
  <si>
    <t>参加延人数</t>
  </si>
  <si>
    <t>平成22年度</t>
  </si>
  <si>
    <t>区　分</t>
  </si>
  <si>
    <t xml:space="preserve">要指導者  </t>
  </si>
  <si>
    <t xml:space="preserve">介護家族者  </t>
  </si>
  <si>
    <t>注：要観察者については、要経過観察、要指導、判定不能等含む。</t>
  </si>
  <si>
    <t xml:space="preserve"> 40～44歳</t>
  </si>
  <si>
    <t xml:space="preserve"> 75以上</t>
  </si>
  <si>
    <t>　 高齢者の医療の確保に関する法律第20条に基づく特定健康診査、同法第125条に基づく健康診査または、健康増進法第19条の2に基づく健康増進事業等を受けた者</t>
  </si>
  <si>
    <t>受診率（％）</t>
  </si>
  <si>
    <t>職場や学校等で健康診査を受ける機会のない18～39歳の方を対象に、集団検診で</t>
  </si>
  <si>
    <t>若年者健康診査として実施。</t>
  </si>
  <si>
    <t>年齢階級</t>
  </si>
  <si>
    <t>受診者</t>
  </si>
  <si>
    <t>人数</t>
  </si>
  <si>
    <t>年齢階級</t>
  </si>
  <si>
    <t>保健指導判定</t>
  </si>
  <si>
    <t>血糖値　100未満</t>
  </si>
  <si>
    <t>血糖値　100以上～126未満</t>
  </si>
  <si>
    <t>血糖値　126以上</t>
  </si>
  <si>
    <t>蛋　　　　白</t>
  </si>
  <si>
    <t>（＋）以上</t>
  </si>
  <si>
    <t>男性 ≦1.2mg/dl</t>
  </si>
  <si>
    <t>男性 1.2mg/dl&lt;</t>
  </si>
  <si>
    <t>女性 ≦1.0mg/dl</t>
  </si>
  <si>
    <t>女性 1.0mg/dl&lt;</t>
  </si>
  <si>
    <t>貧血判定（ヘモグロビン値）</t>
  </si>
  <si>
    <t>所見なし</t>
  </si>
  <si>
    <t>所見あり</t>
  </si>
  <si>
    <t>受診勧奨判定</t>
  </si>
  <si>
    <t>男：13≦</t>
  </si>
  <si>
    <t>男：12以上13未満</t>
  </si>
  <si>
    <t>男：&lt;12</t>
  </si>
  <si>
    <t>女：12≦</t>
  </si>
  <si>
    <t>女：11以上12未満</t>
  </si>
  <si>
    <t>女：&lt;11</t>
  </si>
  <si>
    <t>子宮頸がん検診</t>
  </si>
  <si>
    <t>子宮頸がん検診</t>
  </si>
  <si>
    <t xml:space="preserve"> 45歳</t>
  </si>
  <si>
    <t xml:space="preserve"> 50歳</t>
  </si>
  <si>
    <t xml:space="preserve"> 55歳</t>
  </si>
  <si>
    <t xml:space="preserve"> 60歳</t>
  </si>
  <si>
    <t>BMI値</t>
  </si>
  <si>
    <t>18.5未満</t>
  </si>
  <si>
    <t>18.5以上
～25未満</t>
  </si>
  <si>
    <t>25以上</t>
  </si>
  <si>
    <t>腹囲（再掲）</t>
  </si>
  <si>
    <t>男性85cm以上
女性90cm以上</t>
  </si>
  <si>
    <t>平成23年度</t>
  </si>
  <si>
    <t>自主活動の
広がり</t>
  </si>
  <si>
    <t>該当なし</t>
  </si>
  <si>
    <t>　平成20年4月から高齢者の医療の確保に関する法律第20条により、医療保険者が、40歳～74歳の</t>
  </si>
  <si>
    <t>加入者を対象として特定健康診査を実施している。</t>
  </si>
  <si>
    <t>対象者は、加入者のうち、実施年度中40～74歳となる者で、かつ該当実施年度の１年間を通じて</t>
  </si>
  <si>
    <t>対象者数</t>
  </si>
  <si>
    <t>受診者数</t>
  </si>
  <si>
    <t>受診率</t>
  </si>
  <si>
    <t>国</t>
  </si>
  <si>
    <t>石川県</t>
  </si>
  <si>
    <t>金沢市</t>
  </si>
  <si>
    <t>年齢</t>
  </si>
  <si>
    <t>男性</t>
  </si>
  <si>
    <t>男性（再掲）</t>
  </si>
  <si>
    <t>女性</t>
  </si>
  <si>
    <t>女性（再掲）</t>
  </si>
  <si>
    <t>　平成20年4月から高齢者の医療の確保に関する法律第24条により、医療保険者が、</t>
  </si>
  <si>
    <t>特定健康診査の結果により健康の保持に努める必要がある者に対し、動機付け支援・</t>
  </si>
  <si>
    <t>積極的支援を実施している。</t>
  </si>
  <si>
    <t>終了者数</t>
  </si>
  <si>
    <t>終了率</t>
  </si>
  <si>
    <t>利用者数</t>
  </si>
  <si>
    <t>利用率</t>
  </si>
  <si>
    <t>動機付け支援</t>
  </si>
  <si>
    <t>積極的支援</t>
  </si>
  <si>
    <t>＊利用者数は、初回面接実施者数。</t>
  </si>
  <si>
    <t>特定保健指導の対象者と階層化基準</t>
  </si>
  <si>
    <t>内臓脂肪の　　　　　　　　　　蓄積</t>
  </si>
  <si>
    <t>危険因子</t>
  </si>
  <si>
    <t>④喫煙歴</t>
  </si>
  <si>
    <t>①糖　②脂質　③血圧</t>
  </si>
  <si>
    <t>40～64歳</t>
  </si>
  <si>
    <t>65～74歳</t>
  </si>
  <si>
    <t>腹囲</t>
  </si>
  <si>
    <t>積極的　　　　　支援</t>
  </si>
  <si>
    <t>動機付け支援</t>
  </si>
  <si>
    <t>男性≧85cm</t>
  </si>
  <si>
    <t>女性≧90cm</t>
  </si>
  <si>
    <t>上記以外でBMI≧25</t>
  </si>
  <si>
    <t>②脂質：中性脂肪150,g/dl以上又はHDLコレステロール40mg/dl未満</t>
  </si>
  <si>
    <t>③血圧：収縮期130mmHg以上又は拡張期85mmHg以上</t>
  </si>
  <si>
    <t>　　＊①～③について薬剤治療を受けている場合は除く。</t>
  </si>
  <si>
    <t>④喫煙：質問票）現在、たばこを習慣的に吸っている</t>
  </si>
  <si>
    <t>　　＊喫煙歴の斜線欄は、階層化の判定が喫煙の有無に関係ないことを意味する。</t>
  </si>
  <si>
    <t>55～75歳の奇数年齢の男性</t>
  </si>
  <si>
    <t>　を獲得できた者に対して６か月後に評価を実施できた数とする。</t>
  </si>
  <si>
    <t>会場</t>
  </si>
  <si>
    <t>・若年者健康学習会</t>
  </si>
  <si>
    <t>・健康情報コーナーの開設（常設・移動）</t>
  </si>
  <si>
    <t>・生活習慣病予防相談　　　</t>
  </si>
  <si>
    <t>・喫煙習慣改善相談</t>
  </si>
  <si>
    <t>・その他の健康相談</t>
  </si>
  <si>
    <t>・個別健康診査（すこやか検診：医療機関委託）</t>
  </si>
  <si>
    <t>・集団健康診査（集団検診：検診機関委託）</t>
  </si>
  <si>
    <t>　内容：特定健康診査、がん検診、聴力検診、歯科検診など</t>
  </si>
  <si>
    <t>平成24年度</t>
  </si>
  <si>
    <t>区   分</t>
  </si>
  <si>
    <t>開設回数</t>
  </si>
  <si>
    <t>　若年者（39歳以下）を対象とした健診受診、生活習慣改善の普及啓発、健康情報の提供等</t>
  </si>
  <si>
    <t>　「金沢・健康守る市民の会」と協働で地域の「いきいき健康教室」を実施（ﾓﾃﾞﾙ地区・自主活動地区）</t>
  </si>
  <si>
    <t>　「健康情報ｺｰﾅｰ(常設）」開設：3福祉健康センターで実施（自動血圧計の設置）</t>
  </si>
  <si>
    <t>　平成12年度から「金沢・健康を守る市民の会」との協働の事業として、モデル地区を指定し地域の人たちと互いに知恵を出しあう市民参加型の健康づくり教室を開催している。福祉健康センターは企画や実践の場での協力及び３年目以降の自主活動に向けて支援している。</t>
  </si>
  <si>
    <t>延相談数</t>
  </si>
  <si>
    <t>その他の健康相談</t>
  </si>
  <si>
    <t>　生活習慣の改善や健康管理に関して、保健指導が必要な方に対し、個々に応じた健康の保持・増進が図られるよう保健師、管理栄養士が訪問指導を実施している。</t>
  </si>
  <si>
    <t>福祉健康
センター</t>
  </si>
  <si>
    <r>
      <t>　生活習慣病の予防や健康増進に関する事項について、正しい知識の普及を図ることにより、市民が「自分の健康は自分
でつくる」という認識と自覚を高め、健康づくりに取り組めるよう、保健師、管理栄養士等が種々の健康教育を行っている。</t>
    </r>
  </si>
  <si>
    <t>参加人数</t>
  </si>
  <si>
    <t>もの忘れ健診</t>
  </si>
  <si>
    <t>調査票による判定</t>
  </si>
  <si>
    <t>76歳</t>
  </si>
  <si>
    <t>一次健診</t>
  </si>
  <si>
    <t>正常</t>
  </si>
  <si>
    <t>MCI疑い</t>
  </si>
  <si>
    <t>認知症疑い</t>
  </si>
  <si>
    <t>要確認</t>
  </si>
  <si>
    <t>合計</t>
  </si>
  <si>
    <t>二次健診</t>
  </si>
  <si>
    <t>認知症</t>
  </si>
  <si>
    <t>小立野・鞍月</t>
  </si>
  <si>
    <t>－</t>
  </si>
  <si>
    <t>湖南・三和・額・四十万</t>
  </si>
  <si>
    <t>馬場・富樫・新神田</t>
  </si>
  <si>
    <t>泉野・新竪・崎浦・此花・松ヶ枝・夕日寺・安原・大徳・金石</t>
  </si>
  <si>
    <t>平成22年度</t>
  </si>
  <si>
    <t>該当なし</t>
  </si>
  <si>
    <t>平成25年度</t>
  </si>
  <si>
    <t>内川・医王山</t>
  </si>
  <si>
    <t>50～54</t>
  </si>
  <si>
    <t>40～74</t>
  </si>
  <si>
    <t>平成26年度</t>
  </si>
  <si>
    <t>認知症</t>
  </si>
  <si>
    <t>一次健診受診者数</t>
  </si>
  <si>
    <t>二次健診対象者数</t>
  </si>
  <si>
    <t>二次健診受診者数</t>
  </si>
  <si>
    <t>要精検者</t>
  </si>
  <si>
    <t>ヘリカルCT検査</t>
  </si>
  <si>
    <t>55、60、65歳</t>
  </si>
  <si>
    <t>73歳</t>
  </si>
  <si>
    <t>平成27年度</t>
  </si>
  <si>
    <t>肺がん検診</t>
  </si>
  <si>
    <t>注：すこやか検診の７５歳以上のペプシノゲン検査は除く</t>
  </si>
  <si>
    <t>ヘモグロビンA1ｃ　5.6未満</t>
  </si>
  <si>
    <t>ヘモグロビンA1ｃ　5.6以上6.5未満</t>
  </si>
  <si>
    <t>ヘモグロビンA1ｃ　6.5以上</t>
  </si>
  <si>
    <t>2-2-7　健康診査</t>
  </si>
  <si>
    <t>2-2-7-a　「すこやか検診」と「集団検診」</t>
  </si>
  <si>
    <t>2-2-7-b　検診の種類</t>
  </si>
  <si>
    <t>2-2-7-d-2　肝炎ウイルス検査</t>
  </si>
  <si>
    <t>2-2-7-d-4　聴力検診</t>
  </si>
  <si>
    <t>2-2-7-d-5　緑内障検診</t>
  </si>
  <si>
    <t>2-2-7-d-6  もの忘れ健診</t>
  </si>
  <si>
    <t>2-2-7-e-2　子宮頸がん検診実施結果</t>
  </si>
  <si>
    <t>2-2-7-ｆ-1　受診者数・腹囲・BMI</t>
  </si>
  <si>
    <t>2-2-7-ｆ-2　血圧</t>
  </si>
  <si>
    <t>2-2-7-f-3　中性脂肪</t>
  </si>
  <si>
    <t>2-2-7-ｆ-9　血糖値、ヘモグロビンＡ１c</t>
  </si>
  <si>
    <t>2-2-7-ｆ-10　尿検査</t>
  </si>
  <si>
    <t>2-2-7-ｆ-12　心電図、貧血</t>
  </si>
  <si>
    <t>2-2-7-c　特定健康診査、特定保健指導</t>
  </si>
  <si>
    <t>2-2-7-c-１　特定健康診査</t>
  </si>
  <si>
    <t>加入している者とする。</t>
  </si>
  <si>
    <t>40～44</t>
  </si>
  <si>
    <t>45～49</t>
  </si>
  <si>
    <t>50～54</t>
  </si>
  <si>
    <t>55～59</t>
  </si>
  <si>
    <t>60～64</t>
  </si>
  <si>
    <t>65～69</t>
  </si>
  <si>
    <t>70～74</t>
  </si>
  <si>
    <t>40～64</t>
  </si>
  <si>
    <t>65～74</t>
  </si>
  <si>
    <t>40～74</t>
  </si>
  <si>
    <t>70～74</t>
  </si>
  <si>
    <t>65～74</t>
  </si>
  <si>
    <t>40～64</t>
  </si>
  <si>
    <t>65～74</t>
  </si>
  <si>
    <t>2-2-7-c-2　特定保健指導</t>
  </si>
  <si>
    <t>なし</t>
  </si>
  <si>
    <t>2-2-8 　女性の健康づくり推進事業</t>
  </si>
  <si>
    <t>健康政策課事業</t>
  </si>
  <si>
    <t xml:space="preserve"> 健　康　診　査</t>
  </si>
  <si>
    <t>機　能　訓　練</t>
  </si>
  <si>
    <t>福祉健康センター事業</t>
  </si>
  <si>
    <t>生活習慣病重症化予防事業</t>
  </si>
  <si>
    <t>・個別保健指導</t>
  </si>
  <si>
    <t>・集団検診時個別健康相談</t>
  </si>
  <si>
    <t>健　康　教　育</t>
  </si>
  <si>
    <t>総合健康センター事業</t>
  </si>
  <si>
    <t>・身近な薬草教室</t>
  </si>
  <si>
    <t>2-2-2　健康手帳交付数　　　　　</t>
  </si>
  <si>
    <t>2-2-3　生活習慣病重症化予防事業</t>
  </si>
  <si>
    <t>実人数</t>
  </si>
  <si>
    <t>延人数</t>
  </si>
  <si>
    <t>延人数</t>
  </si>
  <si>
    <t>個別保健指導</t>
  </si>
  <si>
    <t>2-2-4　健康教育</t>
  </si>
  <si>
    <t>2-2-4-a　福祉健康センターにおける健康教育</t>
  </si>
  <si>
    <t>地域での健康教育</t>
  </si>
  <si>
    <t>公民館等地域の依頼を受けて実施する健康教育</t>
  </si>
  <si>
    <t>いきいき健康教室</t>
  </si>
  <si>
    <t>その他の健康教育</t>
  </si>
  <si>
    <t>上記以外の健康教育</t>
  </si>
  <si>
    <t>2-2-4-ｂ 　健康情報コーナー</t>
  </si>
  <si>
    <t>2-2-4-c　いきいき健康まちづくり事業</t>
  </si>
  <si>
    <t>2-2-4-d　総合健康センターにおける健康教育　　　　　　　　　　　　　　</t>
  </si>
  <si>
    <t>延参加数</t>
  </si>
  <si>
    <t>　身近な薬草教室</t>
  </si>
  <si>
    <t xml:space="preserve"> </t>
  </si>
  <si>
    <t>　すっきり！メタボ解消教室</t>
  </si>
  <si>
    <t>　からだとこころのリラックス教室</t>
  </si>
  <si>
    <t>2-2-5　健康相談</t>
  </si>
  <si>
    <t>　　
　</t>
  </si>
  <si>
    <t>保健師、管理栄養士が健診結果に基づいた健康相談などを実施している。</t>
  </si>
  <si>
    <t>2-2-6　訪問指導</t>
  </si>
  <si>
    <t>基本動作訓練、日常生活動作訓練、
屋外活動、生活関連動作訓練　　　
（石川県リハビリテーション協会委託）</t>
  </si>
  <si>
    <t>特定健康診査
　金沢市から受診券を送付された方
　金沢市国民健康保険加入者
　後期高齢者（長寿）医療制度加入者
  生活保護受給中(医療保険未加入)の方</t>
  </si>
  <si>
    <t>70、73、76歳</t>
  </si>
  <si>
    <t>・すっきり！メタボ解消教室</t>
  </si>
  <si>
    <t>・からだとこころのリラックス教室</t>
  </si>
  <si>
    <t>平成28年度</t>
  </si>
  <si>
    <t>H28年度</t>
  </si>
  <si>
    <t>菊川・湯涌</t>
  </si>
  <si>
    <t>－</t>
  </si>
  <si>
    <t>・健康ウオーキング</t>
  </si>
  <si>
    <t>　ヘルシークッキング</t>
  </si>
  <si>
    <t>　健康ウオーキング</t>
  </si>
  <si>
    <t>　福祉健康センターにおける健康相談</t>
  </si>
  <si>
    <t>実施年月日</t>
  </si>
  <si>
    <t>テーマ</t>
  </si>
  <si>
    <t>身体計測、診察、血圧、検尿、血液検査、貧血、血糖、心電図、ＨｂＡ１ｃ、（眼底検査）</t>
  </si>
  <si>
    <t>生活保護受給中の方</t>
  </si>
  <si>
    <t>ー</t>
  </si>
  <si>
    <t>マンモグラフィ</t>
  </si>
  <si>
    <t>40、45、50、55、60歳</t>
  </si>
  <si>
    <t>-</t>
  </si>
  <si>
    <t>2-2-7-d-1　がん検診</t>
  </si>
  <si>
    <t>受診率（％）</t>
  </si>
  <si>
    <t>異常認めず</t>
  </si>
  <si>
    <t>がん発見者</t>
  </si>
  <si>
    <t>胃がん検診</t>
  </si>
  <si>
    <t>Ｃ型肝炎ウイルス検査</t>
  </si>
  <si>
    <t>Ｂ型肝炎ウイルス検査</t>
  </si>
  <si>
    <t>集団検診</t>
  </si>
  <si>
    <t>2-2-7-d-3　歯科検診、骨粗しょう症検診</t>
  </si>
  <si>
    <t>骨粗しょう症検診</t>
  </si>
  <si>
    <t>受診率（％）</t>
  </si>
  <si>
    <t>2-2-7-e-1　胃がん検診実施結果</t>
  </si>
  <si>
    <t>異常が認め
られない者</t>
  </si>
  <si>
    <t>精検受診率
(%)</t>
  </si>
  <si>
    <t>胃潰瘍
及び疑い</t>
  </si>
  <si>
    <t>胃ポリープ
及び疑い</t>
  </si>
  <si>
    <t>十二指腸潰瘍
及び疑い</t>
  </si>
  <si>
    <t xml:space="preserve"> 45～49</t>
  </si>
  <si>
    <t xml:space="preserve"> 50～54</t>
  </si>
  <si>
    <t xml:space="preserve"> 55～59</t>
  </si>
  <si>
    <t xml:space="preserve"> 60～64</t>
  </si>
  <si>
    <t xml:space="preserve"> 65～69</t>
  </si>
  <si>
    <t xml:space="preserve"> 70～74</t>
  </si>
  <si>
    <t xml:space="preserve"> 45～49</t>
  </si>
  <si>
    <t xml:space="preserve"> 50～54</t>
  </si>
  <si>
    <t xml:space="preserve"> 55～59</t>
  </si>
  <si>
    <t>異常が認め
られない者</t>
  </si>
  <si>
    <t>子宮頸がん</t>
  </si>
  <si>
    <t>子宮頸がん疑い</t>
  </si>
  <si>
    <t>精検
受診者</t>
  </si>
  <si>
    <t>精検
受診率
（％）</t>
  </si>
  <si>
    <t>すこ
やか
検診</t>
  </si>
  <si>
    <t>集団
検診</t>
  </si>
  <si>
    <t xml:space="preserve"> 70～</t>
  </si>
  <si>
    <t>　精密検査結果内訳</t>
  </si>
  <si>
    <t>大腸がん
疑い</t>
  </si>
  <si>
    <t>非腺腫性ポリープ</t>
  </si>
  <si>
    <t>潰瘍性
大腸炎</t>
  </si>
  <si>
    <t xml:space="preserve"> 45～49</t>
  </si>
  <si>
    <t xml:space="preserve"> 50～54</t>
  </si>
  <si>
    <t xml:space="preserve"> 55～59</t>
  </si>
  <si>
    <t xml:space="preserve"> 60～64</t>
  </si>
  <si>
    <t xml:space="preserve"> 65～69</t>
  </si>
  <si>
    <t xml:space="preserve"> 70～</t>
  </si>
  <si>
    <t>精検受診率（％）</t>
  </si>
  <si>
    <t xml:space="preserve"> 55～59歳</t>
  </si>
  <si>
    <t>注：対象者は男性のみ</t>
  </si>
  <si>
    <t>年齢区分</t>
  </si>
  <si>
    <t>異常が認められない者</t>
  </si>
  <si>
    <t>骨粗しょう症</t>
  </si>
  <si>
    <t>40歳</t>
  </si>
  <si>
    <t>注：対象者は女性のみ</t>
  </si>
  <si>
    <t>　65～69歳</t>
  </si>
  <si>
    <t>　70～74</t>
  </si>
  <si>
    <t>注：すこやか検診のみ</t>
  </si>
  <si>
    <t>2-2-7-f　若年者の健康づくり推進事業</t>
  </si>
  <si>
    <t>18～19</t>
  </si>
  <si>
    <t>20～24</t>
  </si>
  <si>
    <t>25～29</t>
  </si>
  <si>
    <t>30～34</t>
  </si>
  <si>
    <t>35～39</t>
  </si>
  <si>
    <t>18～19</t>
  </si>
  <si>
    <t>20～24</t>
  </si>
  <si>
    <t>25～29</t>
  </si>
  <si>
    <t>30～34</t>
  </si>
  <si>
    <t>35～39</t>
  </si>
  <si>
    <t>受診勧奨判定</t>
  </si>
  <si>
    <t>　～129</t>
  </si>
  <si>
    <t>130～139</t>
  </si>
  <si>
    <t>140～</t>
  </si>
  <si>
    <t>and ～84</t>
  </si>
  <si>
    <t>or 85～89</t>
  </si>
  <si>
    <t>or 90～</t>
  </si>
  <si>
    <t>受診勧奨判定</t>
  </si>
  <si>
    <t>　～149</t>
  </si>
  <si>
    <t>150～299</t>
  </si>
  <si>
    <t>　300～</t>
  </si>
  <si>
    <t>2-2-7-f-4　ＨＤＬコレステロール</t>
  </si>
  <si>
    <t>　40～</t>
  </si>
  <si>
    <t>　～34</t>
  </si>
  <si>
    <t>2-2-7-f-5　ＬＤＬコレステロール</t>
  </si>
  <si>
    <t>　～119</t>
  </si>
  <si>
    <t>120～139</t>
  </si>
  <si>
    <t>　140～</t>
  </si>
  <si>
    <t>2-2-7-f-6　ＡＳＴ（ＧＯＴ）</t>
  </si>
  <si>
    <t>8～30</t>
  </si>
  <si>
    <t>31～50</t>
  </si>
  <si>
    <t>　51～</t>
  </si>
  <si>
    <t>2-2-7-ｆ-7　ＡＬＴ（ＧＰＴ）</t>
  </si>
  <si>
    <t>5～30</t>
  </si>
  <si>
    <t>31～50</t>
  </si>
  <si>
    <t>　51～</t>
  </si>
  <si>
    <t>2-2-7-ｆ-8　γ－ＧＴ（γ－ＧＴＰ）</t>
  </si>
  <si>
    <t>　～50</t>
  </si>
  <si>
    <t>51～100</t>
  </si>
  <si>
    <t>　101～</t>
  </si>
  <si>
    <t>2-2-7-ｆ-11　クレアチニン</t>
  </si>
  <si>
    <t>治療中</t>
  </si>
  <si>
    <t>特定健康診査の結果、生活習慣病重症化予防対象者に対して訪問等による保健指導を実施</t>
  </si>
  <si>
    <t>前立腺がん検診</t>
  </si>
  <si>
    <t>すこ
やか
検診</t>
  </si>
  <si>
    <t>異常が認め
られない者</t>
  </si>
  <si>
    <t>精検受診率
(%)</t>
  </si>
  <si>
    <t>　20～24歳</t>
  </si>
  <si>
    <t>　25～29</t>
  </si>
  <si>
    <t>　30～34</t>
  </si>
  <si>
    <t>　35～39</t>
  </si>
  <si>
    <t>　40～44</t>
  </si>
  <si>
    <t>　45～49</t>
  </si>
  <si>
    <t>　50～54</t>
  </si>
  <si>
    <t>　55～59</t>
  </si>
  <si>
    <t>　60～64</t>
  </si>
  <si>
    <t>　65～69</t>
  </si>
  <si>
    <t>　70～</t>
  </si>
  <si>
    <t>2-2-7-e-3　乳がん検診実施結果</t>
  </si>
  <si>
    <t>2-2-7-e-4　肺がん検診実施結果</t>
  </si>
  <si>
    <t>2-2-7-e-5　大腸がん検診実施結果</t>
  </si>
  <si>
    <t>2-2-7-e-6　前立腺がん検診実施結果</t>
  </si>
  <si>
    <t>2-2-7-e-7 骨粗しょう症検診実施結果</t>
  </si>
  <si>
    <t>2-2-7-e-8　Ｃ型肝炎ウイルス検査</t>
  </si>
  <si>
    <t>2-2-7-e-9　Ｂ型肝炎ウイルス検査</t>
  </si>
  <si>
    <t>2-2-7-e-10　聴力検診実施結果</t>
  </si>
  <si>
    <t>2-2-7-e-11　緑内障検診実施結果</t>
  </si>
  <si>
    <t>2-2-7-e-12　もの忘れ健診実施結果</t>
  </si>
  <si>
    <t>受診勧奨判定</t>
  </si>
  <si>
    <t>または</t>
  </si>
  <si>
    <t>18～19</t>
  </si>
  <si>
    <t>20～24</t>
  </si>
  <si>
    <t>25～29</t>
  </si>
  <si>
    <t>30～34</t>
  </si>
  <si>
    <t>35～39</t>
  </si>
  <si>
    <t>18～19</t>
  </si>
  <si>
    <t>20～24</t>
  </si>
  <si>
    <t>25～29</t>
  </si>
  <si>
    <t>30～34</t>
  </si>
  <si>
    <t>35～39</t>
  </si>
  <si>
    <t>(-) (±)</t>
  </si>
  <si>
    <t>50、55～70歳、72歳、74歳</t>
  </si>
  <si>
    <t>50、55、60、65歳</t>
  </si>
  <si>
    <t>レビー小体病疑い</t>
  </si>
  <si>
    <t>公民館・学校・福祉健康センターなど</t>
  </si>
  <si>
    <t>異常が認め
られない者</t>
  </si>
  <si>
    <t>精検
受診率
（％）</t>
  </si>
  <si>
    <t>精検
未完了者</t>
  </si>
  <si>
    <t>その他の
悪性
新生物</t>
  </si>
  <si>
    <t>その他の
良性腫瘍</t>
  </si>
  <si>
    <t>その他の疾患</t>
  </si>
  <si>
    <t>異常
なし</t>
  </si>
  <si>
    <t>　「健康情報ｺｰﾅｰ(移動）」開設：市内公共施設　　3会場で実施（健康相談日を併設・自動血圧計の設置）</t>
  </si>
  <si>
    <t>－</t>
  </si>
  <si>
    <t>中村・扇台・犀川・材木・味噌蔵・薬師谷・粟崎・西・西南部</t>
  </si>
  <si>
    <t>平成29年度</t>
  </si>
  <si>
    <t>三谷</t>
  </si>
  <si>
    <t>H29年度から、もの忘れ相談及び介護家族支援相談は開設日を設けずその他の健康相談として実施。</t>
  </si>
  <si>
    <t>H29年度</t>
  </si>
  <si>
    <t>*平成22年度から、特定健康診査の結果、慢性腎臓病(CKD)ハイリスク群等に対するCKD予防訪問支援を実施。平成25年度は対象者を拡大して実施。
平成26年度からは、特定保健指導とCKD予防訪問を含む保健指導体制を一元化し、生活習慣病重症化予防事業を開始。</t>
  </si>
  <si>
    <t>健康手帳
の交付</t>
  </si>
  <si>
    <t>・健康診査の記録</t>
  </si>
  <si>
    <t>・出前健康講座</t>
  </si>
  <si>
    <t>健　康　相　談</t>
  </si>
  <si>
    <t>訪　問　指　導</t>
  </si>
  <si>
    <t>あり</t>
  </si>
  <si>
    <t>なし</t>
  </si>
  <si>
    <t>①血糖：空腹時血糖100mg/dl以上又はHbA1c5.6％（NGSP値）以上</t>
  </si>
  <si>
    <t xml:space="preserve"> 50～54</t>
  </si>
  <si>
    <t>・ヘルシークッキング</t>
  </si>
  <si>
    <t>・女性のためのヘルスアップ講座</t>
  </si>
  <si>
    <t>・出張体力測定</t>
  </si>
  <si>
    <t>・専門職員派遣事業</t>
  </si>
  <si>
    <t>平成29年度から厚生労働省ホームページからのダウンロード方式に変更。</t>
  </si>
  <si>
    <t>　女性のための　
　ヘルスアップ講座</t>
  </si>
  <si>
    <t>　出張体力測定</t>
  </si>
  <si>
    <t>　専門職員派遣事業</t>
  </si>
  <si>
    <t>※</t>
  </si>
  <si>
    <t>ＡＩＳ</t>
  </si>
  <si>
    <t>ＣＩＮ</t>
  </si>
  <si>
    <t>（平成30年度）</t>
  </si>
  <si>
    <t>40、45、50、55、55、57、59、61～70、72、74歳</t>
  </si>
  <si>
    <t>口腔内診査、クリーニング（希望者）</t>
  </si>
  <si>
    <t>口腔内診査、口腔機能検査</t>
  </si>
  <si>
    <t>25,30,35,40,45,50,55,60,65歳</t>
  </si>
  <si>
    <t>65</t>
  </si>
  <si>
    <t>1,739</t>
  </si>
  <si>
    <t>33</t>
  </si>
  <si>
    <t>974</t>
  </si>
  <si>
    <t>平成30年度</t>
  </si>
  <si>
    <t>※上記以外で１１年度以前より地域で自主的な健康づくり教室を実施している地区
　　千坂、森本、三馬、伏見台、小坂、森山
※額・四十万で１教室</t>
  </si>
  <si>
    <t>　50代からの
　からだトレーニング教室</t>
  </si>
  <si>
    <t>H30年度</t>
  </si>
  <si>
    <t>5月～10月</t>
  </si>
  <si>
    <t>5月～12月</t>
  </si>
  <si>
    <t>40歳以上</t>
  </si>
  <si>
    <t>20歳以上の前年度未受診の女性</t>
  </si>
  <si>
    <t>40歳～65歳の前年度未受診の女性</t>
  </si>
  <si>
    <t>20歳～60歳の前年度未受診の女性</t>
  </si>
  <si>
    <t>※平成29年度の国および石川県の数値は速報値</t>
  </si>
  <si>
    <t>平成29年度　対象者数、受診者数、受診率（性別、年代別）</t>
  </si>
  <si>
    <r>
      <t>＊法定報告後の確定値は2年後となるため、実績は平成29</t>
    </r>
    <r>
      <rPr>
        <sz val="10"/>
        <rFont val="ＭＳ Ｐゴシック"/>
        <family val="3"/>
      </rPr>
      <t>年度とする。</t>
    </r>
  </si>
  <si>
    <t>対象者数、終了者数、終了率（平成21年度～平成29年度）</t>
  </si>
  <si>
    <t>平成29年度　対象者数、終了者数、受診率</t>
  </si>
  <si>
    <r>
      <t>＊法定報告後の確定値は</t>
    </r>
    <r>
      <rPr>
        <sz val="11"/>
        <rFont val="ＭＳ Ｐゴシック"/>
        <family val="3"/>
      </rPr>
      <t>2</t>
    </r>
    <r>
      <rPr>
        <sz val="11"/>
        <rFont val="HGPｺﾞｼｯｸM"/>
        <family val="3"/>
      </rPr>
      <t>年後となるため、実績は平成</t>
    </r>
    <r>
      <rPr>
        <sz val="10"/>
        <rFont val="ＭＳ Ｐゴシック"/>
        <family val="3"/>
      </rPr>
      <t>29年度とする。</t>
    </r>
  </si>
  <si>
    <t>＊終了者数とは、動機付け支援で初回面接から6か月後に評価を実施できた数、</t>
  </si>
  <si>
    <t xml:space="preserve">   及び積極的支援で初回面接後に継続支援を実施し支援ポイント（180ポイント）</t>
  </si>
  <si>
    <t>2つ以上該当</t>
  </si>
  <si>
    <t>1つ該当</t>
  </si>
  <si>
    <t>3つ該当</t>
  </si>
  <si>
    <t>2つ該当</t>
  </si>
  <si>
    <t>Fusion21（金沢21世紀美術館内）</t>
  </si>
  <si>
    <t>女性のためのヘルスアップ講座</t>
  </si>
  <si>
    <t>２８名</t>
  </si>
  <si>
    <t>30～34</t>
  </si>
  <si>
    <t>18～19</t>
  </si>
  <si>
    <t>25～29</t>
  </si>
  <si>
    <t>35～39</t>
  </si>
  <si>
    <t>20～24</t>
  </si>
  <si>
    <t>・50代からのからだトレーニング教室</t>
  </si>
  <si>
    <t>対象者数、受診者数、受診率（平成21年度～平成29年度）</t>
  </si>
  <si>
    <t>　高齢社会を迎え、若いうちからの生活習慣病予防・健康づくり事業をはじめ、リハビリテーションに至る一環した保健サービスの提供を目的としている。また、平成29年度に見直しを行った「金沢健康プラン2018」にもとづき、市民の健康づくりを支援している。平成22年より慢性腎臓病（CKD）およびCKDハイリスク群に重点を置いた個別保健指導を実施し、重症化予防を図るとともに、CKDと関連が深い生活習慣病の予防についての普及啓発を行ってきたが、平成26年度からは保健指導体制を一元化し、生活習慣病重症化予防事業を開始。個別保健指導とともに、平成３０年度からは医療連携について糖尿病に特化したワークショップを実施し、生活習慣病の重症化予防を強化した支援を実施している。</t>
  </si>
  <si>
    <t>・糖尿病連携ワークショップ</t>
  </si>
  <si>
    <t>　特定健康診査の結果に基づき、重症化予防が必要な市民に対し、市民が自分の危険因子を知り、生活習慣の改善や適切な受療行動が行えるよう支援している。訪問等による個別保健指導、糖尿病連携ワークショップ等を行っている。</t>
  </si>
  <si>
    <t>特定保健指導</t>
  </si>
  <si>
    <t>特定保健指導以外</t>
  </si>
  <si>
    <t>　金沢医科大学と連携し、健康づくり意識の向上を図るためのセミナーを開催した。
　女性の健康サポートBOOK 「ビューティフルエイジング」の配布と周知に取り組んだ。</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</si>
</sst>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00_ "/>
    <numFmt numFmtId="195" formatCode="#,##0.0_ "/>
    <numFmt numFmtId="196" formatCode="#,##0.0;\(#,##0\);&quot;-&quot;;@"/>
    <numFmt numFmtId="197" formatCode="_ * #,##0.0_ ;_ * \-#,##0.0_ ;_ * &quot;-&quot;_ ;_ @_ "/>
    <numFmt numFmtId="198" formatCode="0.0000000_ "/>
    <numFmt numFmtId="199" formatCode="0.000000_ "/>
    <numFmt numFmtId="200" formatCode="0.00000_ "/>
    <numFmt numFmtId="201" formatCode="0.0000_ "/>
    <numFmt numFmtId="202" formatCode="0.000_ "/>
    <numFmt numFmtId="203" formatCode="0.00_ "/>
    <numFmt numFmtId="204" formatCode="#,##0;[Red]#,##0"/>
    <numFmt numFmtId="205" formatCode="_-* #,##0_-;\-* #,##0_-;_-* &quot;-&quot;_-;_-@_-"/>
    <numFmt numFmtId="206" formatCode="0.0_);[Red]\(0.0\)"/>
    <numFmt numFmtId="207" formatCode="#,##0.0;\(#,##0.0\);&quot;-&quot;;@"/>
    <numFmt numFmtId="208" formatCode="&quot;¥&quot;#,##0_);[Red]\(&quot;¥&quot;#,##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trike/>
      <sz val="11"/>
      <color indexed="53"/>
      <name val="ＭＳ Ｐ明朝"/>
      <family val="1"/>
    </font>
    <font>
      <b/>
      <sz val="16"/>
      <name val="HGPｺﾞｼｯｸM"/>
      <family val="3"/>
    </font>
    <font>
      <sz val="12"/>
      <name val="HGPｺﾞｼｯｸM"/>
      <family val="3"/>
    </font>
    <font>
      <sz val="11"/>
      <name val="HGPｺﾞｼｯｸM"/>
      <family val="3"/>
    </font>
    <font>
      <b/>
      <sz val="12"/>
      <name val="HGPｺﾞｼｯｸM"/>
      <family val="3"/>
    </font>
    <font>
      <sz val="10"/>
      <name val="HGPｺﾞｼｯｸM"/>
      <family val="3"/>
    </font>
    <font>
      <b/>
      <sz val="11"/>
      <name val="HGPｺﾞｼｯｸM"/>
      <family val="3"/>
    </font>
    <font>
      <sz val="9"/>
      <name val="HGPｺﾞｼｯｸM"/>
      <family val="3"/>
    </font>
    <font>
      <sz val="10"/>
      <name val="ＭＳ Ｐゴシック"/>
      <family val="3"/>
    </font>
    <font>
      <b/>
      <sz val="10"/>
      <name val="HGPｺﾞｼｯｸM"/>
      <family val="3"/>
    </font>
    <font>
      <b/>
      <sz val="10"/>
      <name val="ＭＳ Ｐゴシック"/>
      <family val="3"/>
    </font>
    <font>
      <b/>
      <sz val="14"/>
      <name val="HGPｺﾞｼｯｸM"/>
      <family val="3"/>
    </font>
    <font>
      <b/>
      <sz val="11"/>
      <name val="ＭＳ Ｐゴシック"/>
      <family val="3"/>
    </font>
    <font>
      <sz val="8"/>
      <name val="HGPｺﾞｼｯｸM"/>
      <family val="3"/>
    </font>
    <font>
      <sz val="9"/>
      <name val="ＭＳ Ｐゴシック"/>
      <family val="3"/>
    </font>
    <font>
      <b/>
      <sz val="9"/>
      <name val="ＭＳ Ｐゴシック"/>
      <family val="3"/>
    </font>
    <font>
      <b/>
      <i/>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style="thin"/>
      <right style="thin"/>
      <top style="hair"/>
      <bottom style="hair"/>
    </border>
    <border>
      <left style="thin"/>
      <right style="thin"/>
      <top style="hair"/>
      <bottom style="thin"/>
    </border>
    <border>
      <left style="hair"/>
      <right style="thin"/>
      <top>
        <color indexed="63"/>
      </top>
      <bottom style="thin"/>
    </border>
    <border>
      <left style="hair"/>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hair"/>
      <right style="thin"/>
      <top style="hair"/>
      <bottom style="hair"/>
    </border>
    <border>
      <left style="hair"/>
      <right style="thin"/>
      <top style="hair"/>
      <bottom>
        <color indexed="63"/>
      </bottom>
    </border>
    <border>
      <left>
        <color indexed="63"/>
      </left>
      <right style="hair"/>
      <top style="thin"/>
      <bottom style="thin"/>
    </border>
    <border>
      <left style="hair"/>
      <right style="thin"/>
      <top style="hair"/>
      <bottom style="thin"/>
    </border>
    <border>
      <left style="thin"/>
      <right style="thin"/>
      <top>
        <color indexed="63"/>
      </top>
      <bottom style="thin"/>
    </border>
    <border>
      <left style="thin"/>
      <right style="thin"/>
      <top style="thin"/>
      <bottom style="hair"/>
    </border>
    <border>
      <left style="hair"/>
      <right style="hair"/>
      <top style="hair"/>
      <bottom style="thin"/>
    </border>
    <border>
      <left style="thin"/>
      <right style="thin"/>
      <top style="thin"/>
      <bottom style="thin"/>
    </border>
    <border>
      <left style="thin"/>
      <right>
        <color indexed="63"/>
      </right>
      <top style="hair"/>
      <bottom style="hair"/>
    </border>
    <border>
      <left style="thin"/>
      <right>
        <color indexed="63"/>
      </right>
      <top style="hair"/>
      <bottom style="thin"/>
    </border>
    <border>
      <left>
        <color indexed="63"/>
      </left>
      <right style="thin"/>
      <top style="hair"/>
      <bottom style="hair"/>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color indexed="8"/>
      </right>
      <top style="thin"/>
      <bottom style="thin"/>
    </border>
    <border>
      <left style="thin"/>
      <right style="hair"/>
      <top style="thin"/>
      <bottom style="hair"/>
    </border>
    <border>
      <left style="thin"/>
      <right style="hair"/>
      <top style="hair"/>
      <bottom style="hair"/>
    </border>
    <border>
      <left style="thin"/>
      <right style="hair"/>
      <top style="hair"/>
      <bottom>
        <color indexed="63"/>
      </bottom>
    </border>
    <border>
      <left>
        <color indexed="63"/>
      </left>
      <right style="hair"/>
      <top style="hair"/>
      <bottom style="thin"/>
    </border>
    <border>
      <left style="hair"/>
      <right style="thin"/>
      <top style="thin"/>
      <bottom style="hair"/>
    </border>
    <border>
      <left style="thin"/>
      <right style="hair"/>
      <top style="hair"/>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thin"/>
    </border>
    <border>
      <left style="thin"/>
      <right style="hair"/>
      <top>
        <color indexed="63"/>
      </top>
      <bottom style="thin"/>
    </border>
    <border>
      <left>
        <color indexed="63"/>
      </left>
      <right>
        <color indexed="63"/>
      </right>
      <top>
        <color indexed="63"/>
      </top>
      <bottom style="thin"/>
    </border>
    <border>
      <left>
        <color indexed="63"/>
      </left>
      <right style="hair"/>
      <top>
        <color indexed="63"/>
      </top>
      <bottom style="hair"/>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hair"/>
      <right style="hair"/>
      <top style="thin"/>
      <bottom style="hair"/>
    </border>
    <border>
      <left style="hair"/>
      <right style="hair"/>
      <top style="hair"/>
      <bottom>
        <color indexed="63"/>
      </bottom>
    </border>
    <border>
      <left>
        <color indexed="63"/>
      </left>
      <right style="hair"/>
      <top style="thin"/>
      <bottom style="hair"/>
    </border>
    <border diagonalUp="1">
      <left style="hair"/>
      <right style="thin"/>
      <top style="thin"/>
      <bottom>
        <color indexed="63"/>
      </bottom>
      <diagonal style="hair"/>
    </border>
    <border>
      <left style="hair"/>
      <right style="thin"/>
      <top>
        <color indexed="63"/>
      </top>
      <bottom>
        <color indexed="63"/>
      </bottom>
    </border>
    <border>
      <left style="hair"/>
      <right style="hair"/>
      <top>
        <color indexed="63"/>
      </top>
      <bottom style="thin"/>
    </border>
    <border>
      <left>
        <color indexed="63"/>
      </left>
      <right style="hair"/>
      <top>
        <color indexed="63"/>
      </top>
      <bottom style="thin"/>
    </border>
    <border>
      <left>
        <color indexed="63"/>
      </left>
      <right>
        <color indexed="63"/>
      </right>
      <top style="thin"/>
      <bottom style="thin"/>
    </border>
    <border>
      <left style="hair"/>
      <right>
        <color indexed="63"/>
      </right>
      <top style="thin"/>
      <bottom style="thin"/>
    </border>
    <border>
      <left style="hair"/>
      <right>
        <color indexed="63"/>
      </right>
      <top>
        <color indexed="63"/>
      </top>
      <bottom style="thin"/>
    </border>
    <border>
      <left style="thin"/>
      <right>
        <color indexed="63"/>
      </right>
      <top style="thin"/>
      <bottom style="hair"/>
    </border>
    <border>
      <left style="thin"/>
      <right>
        <color indexed="63"/>
      </right>
      <top>
        <color indexed="63"/>
      </top>
      <bottom style="hair"/>
    </border>
    <border>
      <left style="thin"/>
      <right>
        <color indexed="63"/>
      </right>
      <top style="thin"/>
      <bottom style="thin"/>
    </border>
    <border diagonalUp="1">
      <left style="thin"/>
      <right style="thin"/>
      <top style="thin"/>
      <bottom style="thin"/>
      <diagonal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color indexed="63"/>
      </top>
      <bottom>
        <color indexed="63"/>
      </bottom>
    </border>
    <border>
      <left style="thin"/>
      <right style="thin"/>
      <top style="thin"/>
      <bottom style="double"/>
    </border>
    <border>
      <left style="thin"/>
      <right style="thin"/>
      <top style="double"/>
      <bottom style="thin"/>
    </border>
    <border>
      <left>
        <color indexed="63"/>
      </left>
      <right style="hair"/>
      <top>
        <color indexed="63"/>
      </top>
      <bottom>
        <color indexed="63"/>
      </bottom>
    </border>
    <border>
      <left style="hair"/>
      <right style="thin"/>
      <top style="thin"/>
      <bottom>
        <color indexed="63"/>
      </bottom>
    </border>
    <border>
      <left style="hair"/>
      <right style="hair"/>
      <top style="thin"/>
      <bottom>
        <color indexed="63"/>
      </bottom>
    </border>
    <border>
      <left>
        <color indexed="63"/>
      </left>
      <right style="thin"/>
      <top style="thin"/>
      <bottom style="thin"/>
    </border>
    <border>
      <left style="thin"/>
      <right style="thin"/>
      <top>
        <color indexed="63"/>
      </top>
      <bottom style="hair">
        <color indexed="8"/>
      </bottom>
    </border>
    <border>
      <left style="thin"/>
      <right style="thin"/>
      <top style="hair">
        <color indexed="8"/>
      </top>
      <bottom style="hair">
        <color indexed="8"/>
      </bottom>
    </border>
    <border>
      <left>
        <color indexed="63"/>
      </left>
      <right>
        <color indexed="63"/>
      </right>
      <top>
        <color indexed="63"/>
      </top>
      <bottom style="hair"/>
    </border>
    <border>
      <left>
        <color indexed="63"/>
      </left>
      <right style="thin"/>
      <top>
        <color indexed="63"/>
      </top>
      <bottom style="hair"/>
    </border>
    <border>
      <left style="thin"/>
      <right style="thin"/>
      <top style="hair">
        <color indexed="8"/>
      </top>
      <bottom>
        <color indexed="63"/>
      </bottom>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style="hair">
        <color indexed="8"/>
      </right>
      <top style="hair">
        <color indexed="8"/>
      </top>
      <bottom style="hair">
        <color indexed="8"/>
      </bottom>
    </border>
    <border>
      <left style="thin"/>
      <right style="hair">
        <color indexed="8"/>
      </right>
      <top style="hair">
        <color indexed="8"/>
      </top>
      <bottom style="thin"/>
    </border>
    <border>
      <left style="thin"/>
      <right>
        <color indexed="63"/>
      </right>
      <top style="hair">
        <color indexed="8"/>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style="thin"/>
      <right style="hair">
        <color indexed="8"/>
      </right>
      <top style="thin"/>
      <bottom style="hair">
        <color indexed="8"/>
      </bottom>
    </border>
    <border>
      <left style="hair"/>
      <right>
        <color indexed="63"/>
      </right>
      <top style="thin"/>
      <bottom style="hair"/>
    </border>
    <border>
      <left>
        <color indexed="63"/>
      </left>
      <right style="thin"/>
      <top style="thin"/>
      <bottom style="hair"/>
    </border>
    <border>
      <left style="hair"/>
      <right>
        <color indexed="63"/>
      </right>
      <top>
        <color indexed="63"/>
      </top>
      <bottom style="hair"/>
    </border>
    <border>
      <left style="hair"/>
      <right>
        <color indexed="63"/>
      </right>
      <top style="hair"/>
      <bottom style="thin"/>
    </border>
    <border>
      <left style="hair"/>
      <right>
        <color indexed="63"/>
      </right>
      <top>
        <color indexed="63"/>
      </top>
      <bottom>
        <color indexed="63"/>
      </bottom>
    </border>
    <border>
      <left style="thin"/>
      <right style="thin"/>
      <top style="double"/>
      <bottom>
        <color indexed="63"/>
      </bottom>
    </border>
    <border>
      <left style="thin"/>
      <right style="hair"/>
      <top style="thin"/>
      <bottom style="thin"/>
    </border>
    <border>
      <left style="thin"/>
      <right style="hair"/>
      <top>
        <color indexed="63"/>
      </top>
      <bottom style="hair"/>
    </border>
    <border>
      <left style="thin"/>
      <right style="hair"/>
      <top style="thin"/>
      <bottom>
        <color indexed="63"/>
      </bottom>
    </border>
    <border>
      <left style="hair"/>
      <right>
        <color indexed="63"/>
      </right>
      <top style="thin"/>
      <bottom>
        <color indexed="63"/>
      </bottom>
    </border>
    <border>
      <left>
        <color indexed="63"/>
      </left>
      <right style="hair"/>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8"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1076">
    <xf numFmtId="0" fontId="0" fillId="0" borderId="0" xfId="0" applyAlignment="1">
      <alignment/>
    </xf>
    <xf numFmtId="0" fontId="6"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7" fillId="0" borderId="10" xfId="0" applyFont="1" applyFill="1" applyBorder="1" applyAlignment="1">
      <alignment vertical="center" shrinkToFit="1"/>
    </xf>
    <xf numFmtId="0" fontId="7" fillId="0" borderId="11" xfId="0" applyFont="1" applyFill="1" applyBorder="1" applyAlignment="1">
      <alignment vertical="center" shrinkToFit="1"/>
    </xf>
    <xf numFmtId="0" fontId="8" fillId="0" borderId="0" xfId="0" applyFont="1" applyFill="1" applyBorder="1" applyAlignment="1">
      <alignment vertical="center"/>
    </xf>
    <xf numFmtId="0" fontId="7" fillId="0" borderId="0" xfId="0" applyFont="1" applyFill="1" applyBorder="1" applyAlignment="1">
      <alignment horizontal="right" vertical="center"/>
    </xf>
    <xf numFmtId="0" fontId="6" fillId="0" borderId="0" xfId="0" applyFont="1" applyFill="1" applyAlignment="1">
      <alignment/>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left" vertical="center" wrapText="1"/>
    </xf>
    <xf numFmtId="0" fontId="7" fillId="0" borderId="12" xfId="0" applyFont="1" applyFill="1" applyBorder="1" applyAlignment="1">
      <alignment vertical="center" wrapText="1"/>
    </xf>
    <xf numFmtId="0" fontId="7" fillId="0" borderId="16" xfId="0" applyFont="1" applyFill="1" applyBorder="1" applyAlignment="1">
      <alignment horizontal="distributed" vertical="center"/>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2" xfId="0" applyFont="1" applyFill="1" applyBorder="1" applyAlignment="1">
      <alignment vertical="center" wrapText="1" shrinkToFi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3" xfId="0" applyFont="1" applyFill="1" applyBorder="1" applyAlignment="1">
      <alignment vertical="center" wrapText="1"/>
    </xf>
    <xf numFmtId="0" fontId="6" fillId="0" borderId="0" xfId="0" applyFont="1" applyFill="1" applyAlignment="1">
      <alignment horizontal="right" vertical="center"/>
    </xf>
    <xf numFmtId="0" fontId="7" fillId="0" borderId="21" xfId="0" applyFont="1" applyFill="1" applyBorder="1" applyAlignment="1">
      <alignment horizontal="distributed" vertical="center" wrapText="1"/>
    </xf>
    <xf numFmtId="0" fontId="7" fillId="0" borderId="10" xfId="0" applyFont="1" applyFill="1" applyBorder="1" applyAlignment="1">
      <alignment horizontal="center" vertical="center" shrinkToFit="1"/>
    </xf>
    <xf numFmtId="0" fontId="7" fillId="0" borderId="10" xfId="0"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0" xfId="0" applyFont="1" applyFill="1" applyAlignment="1">
      <alignment horizontal="right" vertical="center"/>
    </xf>
    <xf numFmtId="0" fontId="7" fillId="0" borderId="10" xfId="0" applyFont="1" applyFill="1" applyBorder="1" applyAlignment="1">
      <alignment horizontal="distributed" vertical="center" shrinkToFit="1"/>
    </xf>
    <xf numFmtId="0" fontId="7" fillId="0" borderId="22" xfId="0" applyFont="1" applyFill="1" applyBorder="1" applyAlignment="1">
      <alignment horizontal="distributed" vertical="center"/>
    </xf>
    <xf numFmtId="0" fontId="7" fillId="0" borderId="20" xfId="0" applyNumberFormat="1" applyFont="1" applyFill="1" applyBorder="1" applyAlignment="1">
      <alignment horizontal="distributed" vertical="center"/>
    </xf>
    <xf numFmtId="0" fontId="7" fillId="0" borderId="22" xfId="0" applyNumberFormat="1" applyFont="1" applyFill="1" applyBorder="1" applyAlignment="1">
      <alignment horizontal="distributed" vertical="center"/>
    </xf>
    <xf numFmtId="41" fontId="7" fillId="0" borderId="0" xfId="0" applyNumberFormat="1" applyFont="1" applyFill="1" applyAlignment="1">
      <alignment vertical="center"/>
    </xf>
    <xf numFmtId="0" fontId="7" fillId="0" borderId="19" xfId="0" applyNumberFormat="1" applyFont="1" applyFill="1" applyBorder="1" applyAlignment="1">
      <alignment vertical="center"/>
    </xf>
    <xf numFmtId="41" fontId="7" fillId="0" borderId="0" xfId="0" applyNumberFormat="1" applyFont="1" applyFill="1" applyAlignment="1">
      <alignment vertical="center" shrinkToFit="1"/>
    </xf>
    <xf numFmtId="41" fontId="7" fillId="0" borderId="12" xfId="0" applyNumberFormat="1" applyFont="1" applyFill="1" applyBorder="1" applyAlignment="1">
      <alignment vertical="center" shrinkToFit="1"/>
    </xf>
    <xf numFmtId="41" fontId="7" fillId="0" borderId="13" xfId="0" applyNumberFormat="1" applyFont="1" applyFill="1" applyBorder="1" applyAlignment="1">
      <alignment vertical="center" shrinkToFit="1"/>
    </xf>
    <xf numFmtId="41" fontId="7" fillId="0" borderId="23" xfId="0" applyNumberFormat="1" applyFont="1" applyFill="1" applyBorder="1" applyAlignment="1">
      <alignment horizontal="center" vertical="center" shrinkToFit="1"/>
    </xf>
    <xf numFmtId="41" fontId="7" fillId="0" borderId="24" xfId="0" applyNumberFormat="1" applyFont="1" applyFill="1" applyBorder="1" applyAlignment="1">
      <alignment vertical="center" shrinkToFit="1"/>
    </xf>
    <xf numFmtId="0" fontId="7" fillId="0" borderId="25" xfId="0" applyFont="1" applyFill="1" applyBorder="1" applyAlignment="1">
      <alignment horizontal="distributed" vertical="center"/>
    </xf>
    <xf numFmtId="0" fontId="7" fillId="0" borderId="15" xfId="0" applyNumberFormat="1" applyFont="1" applyFill="1" applyBorder="1" applyAlignment="1">
      <alignment vertical="center"/>
    </xf>
    <xf numFmtId="0" fontId="7" fillId="0" borderId="15"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6" fillId="0" borderId="0" xfId="0" applyFont="1" applyFill="1" applyAlignment="1">
      <alignment vertical="center" shrinkToFit="1"/>
    </xf>
    <xf numFmtId="176" fontId="6" fillId="0" borderId="0" xfId="0" applyNumberFormat="1" applyFont="1" applyFill="1" applyBorder="1" applyAlignment="1">
      <alignment vertical="center"/>
    </xf>
    <xf numFmtId="0" fontId="7" fillId="0" borderId="26" xfId="0" applyFont="1" applyFill="1" applyBorder="1" applyAlignment="1">
      <alignment horizontal="distributed" vertical="center"/>
    </xf>
    <xf numFmtId="0" fontId="7" fillId="0" borderId="18" xfId="0" applyFont="1" applyFill="1" applyBorder="1" applyAlignment="1">
      <alignment horizontal="left" vertical="center" wrapText="1"/>
    </xf>
    <xf numFmtId="0" fontId="7" fillId="0" borderId="0" xfId="0" applyFont="1" applyFill="1" applyAlignment="1">
      <alignment vertical="center" shrinkToFit="1"/>
    </xf>
    <xf numFmtId="181" fontId="6" fillId="0" borderId="0" xfId="0" applyNumberFormat="1" applyFont="1" applyFill="1" applyAlignment="1">
      <alignment vertical="center" shrinkToFit="1"/>
    </xf>
    <xf numFmtId="49" fontId="7" fillId="0" borderId="24"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23" xfId="0" applyFont="1" applyFill="1" applyBorder="1" applyAlignment="1">
      <alignment horizontal="center" vertical="center"/>
    </xf>
    <xf numFmtId="181" fontId="7" fillId="0" borderId="0" xfId="0" applyNumberFormat="1" applyFont="1" applyFill="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31" xfId="0" applyFont="1" applyFill="1" applyBorder="1" applyAlignment="1">
      <alignment vertical="center"/>
    </xf>
    <xf numFmtId="0" fontId="7" fillId="0" borderId="32" xfId="0" applyFont="1" applyFill="1" applyBorder="1" applyAlignment="1">
      <alignment horizontal="distributed" vertical="center"/>
    </xf>
    <xf numFmtId="0" fontId="6" fillId="33" borderId="0" xfId="0" applyFont="1" applyFill="1" applyAlignment="1">
      <alignment vertical="center"/>
    </xf>
    <xf numFmtId="0" fontId="7" fillId="33" borderId="0" xfId="0" applyFont="1" applyFill="1" applyAlignment="1">
      <alignment vertical="center" wrapText="1"/>
    </xf>
    <xf numFmtId="0" fontId="6" fillId="33" borderId="0" xfId="0" applyFont="1" applyFill="1" applyAlignment="1">
      <alignment vertical="center" wrapText="1"/>
    </xf>
    <xf numFmtId="0" fontId="8"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shrinkToFit="1"/>
    </xf>
    <xf numFmtId="0" fontId="8" fillId="33" borderId="0" xfId="0"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horizontal="left" vertical="center" wrapText="1"/>
    </xf>
    <xf numFmtId="0" fontId="7" fillId="33" borderId="0" xfId="0" applyFont="1" applyFill="1" applyBorder="1" applyAlignment="1">
      <alignment horizontal="center" vertical="center"/>
    </xf>
    <xf numFmtId="0" fontId="10" fillId="33" borderId="0" xfId="0" applyFont="1" applyFill="1" applyAlignment="1">
      <alignment vertical="center"/>
    </xf>
    <xf numFmtId="0" fontId="10" fillId="33" borderId="33" xfId="0" applyFont="1" applyFill="1" applyBorder="1" applyAlignment="1">
      <alignment vertical="center"/>
    </xf>
    <xf numFmtId="0" fontId="10" fillId="33" borderId="0" xfId="0" applyFont="1" applyFill="1" applyBorder="1" applyAlignment="1">
      <alignment vertical="center"/>
    </xf>
    <xf numFmtId="0" fontId="7" fillId="33" borderId="34" xfId="0" applyFont="1" applyFill="1" applyBorder="1" applyAlignment="1">
      <alignment horizontal="left" vertical="center"/>
    </xf>
    <xf numFmtId="0" fontId="7" fillId="33" borderId="35" xfId="0" applyFont="1" applyFill="1" applyBorder="1" applyAlignment="1">
      <alignment horizontal="left" vertical="center"/>
    </xf>
    <xf numFmtId="0" fontId="7" fillId="33" borderId="36" xfId="0" applyFont="1" applyFill="1" applyBorder="1" applyAlignment="1">
      <alignment horizontal="left" vertical="center"/>
    </xf>
    <xf numFmtId="0" fontId="7" fillId="0" borderId="0" xfId="0" applyFont="1" applyFill="1" applyBorder="1" applyAlignment="1">
      <alignment horizontal="left" vertical="center" wrapText="1"/>
    </xf>
    <xf numFmtId="38" fontId="6" fillId="0" borderId="0" xfId="51" applyFont="1" applyAlignment="1">
      <alignment vertical="center"/>
    </xf>
    <xf numFmtId="38" fontId="8" fillId="0" borderId="0" xfId="51" applyFont="1" applyAlignment="1">
      <alignment vertical="center"/>
    </xf>
    <xf numFmtId="38" fontId="9" fillId="0" borderId="0" xfId="51" applyFont="1" applyAlignment="1">
      <alignment vertical="center"/>
    </xf>
    <xf numFmtId="38" fontId="8" fillId="0" borderId="0" xfId="51" applyFont="1" applyFill="1" applyBorder="1" applyAlignment="1">
      <alignment vertical="center"/>
    </xf>
    <xf numFmtId="0" fontId="7" fillId="0" borderId="0" xfId="0" applyFont="1" applyFill="1" applyBorder="1" applyAlignment="1">
      <alignment horizontal="distributed" vertical="center"/>
    </xf>
    <xf numFmtId="0" fontId="6" fillId="0" borderId="0" xfId="0" applyFont="1" applyFill="1" applyBorder="1" applyAlignment="1">
      <alignment horizontal="right" vertical="center"/>
    </xf>
    <xf numFmtId="0" fontId="7" fillId="33" borderId="0" xfId="0" applyFont="1" applyFill="1" applyAlignment="1">
      <alignment horizontal="left" vertical="center" wrapText="1"/>
    </xf>
    <xf numFmtId="0" fontId="7" fillId="33" borderId="37" xfId="0" applyFont="1" applyFill="1" applyBorder="1" applyAlignment="1">
      <alignment horizontal="left" vertical="center"/>
    </xf>
    <xf numFmtId="0" fontId="7" fillId="33" borderId="38" xfId="0" applyFont="1" applyFill="1" applyBorder="1" applyAlignment="1">
      <alignment horizontal="left" vertical="center"/>
    </xf>
    <xf numFmtId="0" fontId="7" fillId="33" borderId="39" xfId="0" applyFont="1" applyFill="1" applyBorder="1" applyAlignment="1">
      <alignment horizontal="left" vertical="center"/>
    </xf>
    <xf numFmtId="0" fontId="7" fillId="33" borderId="40" xfId="0" applyFont="1" applyFill="1" applyBorder="1" applyAlignment="1">
      <alignment horizontal="distributed" vertical="center"/>
    </xf>
    <xf numFmtId="0" fontId="7" fillId="33" borderId="41" xfId="0" applyFont="1" applyFill="1" applyBorder="1" applyAlignment="1">
      <alignment vertical="center"/>
    </xf>
    <xf numFmtId="0" fontId="7" fillId="33" borderId="42" xfId="0" applyFont="1" applyFill="1" applyBorder="1" applyAlignment="1">
      <alignment vertical="center"/>
    </xf>
    <xf numFmtId="0" fontId="7" fillId="33" borderId="43" xfId="0" applyFont="1" applyFill="1" applyBorder="1" applyAlignment="1">
      <alignment vertical="center"/>
    </xf>
    <xf numFmtId="0" fontId="6" fillId="33" borderId="0" xfId="0" applyFont="1" applyFill="1" applyBorder="1" applyAlignment="1">
      <alignment vertical="center"/>
    </xf>
    <xf numFmtId="0" fontId="7" fillId="33" borderId="26" xfId="0" applyFont="1" applyFill="1" applyBorder="1" applyAlignment="1">
      <alignment horizontal="center" vertical="center"/>
    </xf>
    <xf numFmtId="0" fontId="0" fillId="0" borderId="0" xfId="0" applyFont="1" applyAlignment="1">
      <alignment/>
    </xf>
    <xf numFmtId="0" fontId="7" fillId="0" borderId="0" xfId="0" applyFont="1" applyFill="1" applyAlignment="1" applyProtection="1">
      <alignment vertical="center"/>
      <protection locked="0"/>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44" xfId="51" applyNumberFormat="1" applyFont="1" applyFill="1" applyBorder="1" applyAlignment="1">
      <alignment horizontal="center" vertical="center" shrinkToFit="1"/>
    </xf>
    <xf numFmtId="0" fontId="7" fillId="0" borderId="25" xfId="51" applyNumberFormat="1" applyFont="1" applyFill="1" applyBorder="1" applyAlignment="1">
      <alignment horizontal="center" vertical="center" shrinkToFit="1"/>
    </xf>
    <xf numFmtId="0" fontId="7" fillId="0" borderId="22" xfId="51" applyNumberFormat="1" applyFont="1" applyFill="1" applyBorder="1" applyAlignment="1">
      <alignment horizontal="center" vertical="center" shrinkToFit="1"/>
    </xf>
    <xf numFmtId="38" fontId="8" fillId="0" borderId="0" xfId="51" applyFont="1" applyFill="1" applyAlignment="1">
      <alignment vertical="center"/>
    </xf>
    <xf numFmtId="38" fontId="6" fillId="0" borderId="0" xfId="51" applyFont="1" applyFill="1" applyAlignment="1">
      <alignment vertical="center"/>
    </xf>
    <xf numFmtId="38" fontId="7" fillId="0" borderId="0" xfId="51" applyFont="1" applyFill="1" applyAlignment="1">
      <alignment vertical="center"/>
    </xf>
    <xf numFmtId="38" fontId="7" fillId="0" borderId="22" xfId="51" applyFont="1" applyFill="1" applyBorder="1" applyAlignment="1">
      <alignment horizontal="distributed" vertical="center"/>
    </xf>
    <xf numFmtId="38" fontId="7" fillId="0" borderId="44" xfId="51" applyFont="1" applyFill="1" applyBorder="1" applyAlignment="1">
      <alignment horizontal="center" vertical="center" wrapText="1" shrinkToFit="1"/>
    </xf>
    <xf numFmtId="38" fontId="7" fillId="0" borderId="25" xfId="51" applyFont="1" applyFill="1" applyBorder="1" applyAlignment="1">
      <alignment horizontal="center" vertical="center" wrapText="1" shrinkToFit="1"/>
    </xf>
    <xf numFmtId="38" fontId="7" fillId="0" borderId="25" xfId="51" applyFont="1" applyFill="1" applyBorder="1" applyAlignment="1">
      <alignment horizontal="center" vertical="center" wrapText="1"/>
    </xf>
    <xf numFmtId="38" fontId="7" fillId="0" borderId="22" xfId="51" applyFont="1" applyFill="1" applyBorder="1" applyAlignment="1">
      <alignment horizontal="center" vertical="center" wrapText="1" shrinkToFit="1"/>
    </xf>
    <xf numFmtId="38" fontId="7" fillId="0" borderId="45" xfId="51" applyFont="1" applyFill="1" applyBorder="1" applyAlignment="1">
      <alignment vertical="center"/>
    </xf>
    <xf numFmtId="38" fontId="7" fillId="0" borderId="19" xfId="51" applyFont="1" applyFill="1" applyBorder="1" applyAlignment="1">
      <alignment vertical="center"/>
    </xf>
    <xf numFmtId="38" fontId="9" fillId="0" borderId="44" xfId="51" applyFont="1" applyFill="1" applyBorder="1" applyAlignment="1">
      <alignment horizontal="center" vertical="center" wrapText="1" shrinkToFit="1"/>
    </xf>
    <xf numFmtId="38" fontId="9" fillId="0" borderId="25" xfId="51" applyFont="1" applyFill="1" applyBorder="1" applyAlignment="1">
      <alignment horizontal="center" vertical="center" wrapText="1" shrinkToFit="1"/>
    </xf>
    <xf numFmtId="38" fontId="9" fillId="0" borderId="22" xfId="51" applyFont="1" applyFill="1" applyBorder="1" applyAlignment="1">
      <alignment horizontal="center" vertical="center" wrapText="1" shrinkToFit="1"/>
    </xf>
    <xf numFmtId="41" fontId="6" fillId="0" borderId="0" xfId="51" applyNumberFormat="1" applyFont="1" applyFill="1" applyAlignment="1">
      <alignment vertical="center"/>
    </xf>
    <xf numFmtId="0" fontId="7" fillId="0" borderId="44" xfId="51" applyNumberFormat="1" applyFont="1" applyFill="1" applyBorder="1" applyAlignment="1">
      <alignment horizontal="center" vertical="center" wrapText="1" shrinkToFit="1"/>
    </xf>
    <xf numFmtId="0" fontId="7" fillId="0" borderId="25" xfId="51" applyNumberFormat="1" applyFont="1" applyFill="1" applyBorder="1" applyAlignment="1">
      <alignment horizontal="center" vertical="center" wrapText="1" shrinkToFit="1"/>
    </xf>
    <xf numFmtId="0" fontId="7" fillId="0" borderId="22" xfId="51" applyNumberFormat="1" applyFont="1" applyFill="1" applyBorder="1" applyAlignment="1">
      <alignment horizontal="center" vertical="center" wrapText="1" shrinkToFit="1"/>
    </xf>
    <xf numFmtId="0" fontId="7" fillId="0" borderId="46" xfId="51" applyNumberFormat="1" applyFont="1" applyFill="1" applyBorder="1" applyAlignment="1">
      <alignment horizontal="center" vertical="center" wrapText="1" shrinkToFit="1"/>
    </xf>
    <xf numFmtId="0" fontId="7" fillId="0" borderId="45" xfId="51" applyNumberFormat="1" applyFont="1" applyFill="1" applyBorder="1" applyAlignment="1">
      <alignment vertical="center"/>
    </xf>
    <xf numFmtId="0" fontId="7" fillId="0" borderId="15" xfId="51" applyNumberFormat="1" applyFont="1" applyFill="1" applyBorder="1" applyAlignment="1">
      <alignment vertical="center"/>
    </xf>
    <xf numFmtId="0" fontId="7" fillId="0" borderId="22" xfId="51" applyNumberFormat="1" applyFont="1" applyFill="1" applyBorder="1" applyAlignment="1">
      <alignment horizontal="center" vertical="center"/>
    </xf>
    <xf numFmtId="0" fontId="7" fillId="0" borderId="20" xfId="51" applyNumberFormat="1" applyFont="1" applyFill="1" applyBorder="1" applyAlignment="1">
      <alignment horizontal="center" vertical="center"/>
    </xf>
    <xf numFmtId="0" fontId="6" fillId="0" borderId="12" xfId="0" applyFont="1" applyFill="1" applyBorder="1" applyAlignment="1">
      <alignment horizontal="center" vertical="center"/>
    </xf>
    <xf numFmtId="0" fontId="6" fillId="0" borderId="24" xfId="0" applyFont="1" applyFill="1" applyBorder="1" applyAlignment="1">
      <alignment horizontal="center" vertical="center"/>
    </xf>
    <xf numFmtId="0" fontId="7" fillId="0" borderId="13" xfId="0" applyNumberFormat="1" applyFont="1" applyFill="1" applyBorder="1" applyAlignment="1">
      <alignment horizontal="distributed" vertical="center"/>
    </xf>
    <xf numFmtId="38" fontId="9" fillId="0" borderId="26" xfId="51" applyFont="1" applyBorder="1" applyAlignment="1">
      <alignment horizontal="center" vertical="center"/>
    </xf>
    <xf numFmtId="38" fontId="9" fillId="0" borderId="47" xfId="51" applyFont="1" applyBorder="1" applyAlignment="1">
      <alignment horizontal="center" vertical="center"/>
    </xf>
    <xf numFmtId="38" fontId="9" fillId="0" borderId="12" xfId="51" applyFont="1" applyBorder="1" applyAlignment="1">
      <alignment horizontal="center" vertical="center"/>
    </xf>
    <xf numFmtId="38" fontId="13" fillId="0" borderId="0" xfId="51" applyFont="1" applyAlignment="1">
      <alignment vertical="center"/>
    </xf>
    <xf numFmtId="38" fontId="9" fillId="0" borderId="23" xfId="51" applyFont="1" applyBorder="1" applyAlignment="1">
      <alignment horizontal="center" vertical="center"/>
    </xf>
    <xf numFmtId="0" fontId="7" fillId="33" borderId="26" xfId="0" applyFont="1" applyFill="1" applyBorder="1" applyAlignment="1">
      <alignment horizontal="center" vertical="center" wrapText="1"/>
    </xf>
    <xf numFmtId="0" fontId="7" fillId="33" borderId="48"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6" fillId="33" borderId="0" xfId="0" applyNumberFormat="1" applyFont="1" applyFill="1" applyBorder="1" applyAlignment="1">
      <alignment vertical="center"/>
    </xf>
    <xf numFmtId="0" fontId="7" fillId="0" borderId="23" xfId="0" applyFont="1" applyFill="1" applyBorder="1" applyAlignment="1">
      <alignment vertical="center"/>
    </xf>
    <xf numFmtId="0" fontId="7" fillId="33" borderId="48" xfId="0" applyFont="1" applyFill="1" applyBorder="1" applyAlignment="1">
      <alignment horizontal="center" vertical="center" wrapText="1"/>
    </xf>
    <xf numFmtId="0" fontId="7" fillId="33" borderId="48" xfId="0" applyFont="1" applyFill="1" applyBorder="1" applyAlignment="1">
      <alignment horizontal="center" vertical="center"/>
    </xf>
    <xf numFmtId="0" fontId="7" fillId="33" borderId="49" xfId="0" applyFont="1" applyFill="1" applyBorder="1" applyAlignment="1">
      <alignment vertical="center"/>
    </xf>
    <xf numFmtId="0" fontId="7" fillId="33" borderId="38" xfId="0" applyFont="1" applyFill="1" applyBorder="1" applyAlignment="1">
      <alignment vertical="center"/>
    </xf>
    <xf numFmtId="0" fontId="7" fillId="33" borderId="35" xfId="0" applyFont="1" applyFill="1" applyBorder="1" applyAlignment="1">
      <alignment vertical="center"/>
    </xf>
    <xf numFmtId="0" fontId="7" fillId="34" borderId="35" xfId="0" applyFont="1" applyFill="1" applyBorder="1" applyAlignment="1">
      <alignment horizontal="left" vertical="center"/>
    </xf>
    <xf numFmtId="0" fontId="7" fillId="34" borderId="50" xfId="0" applyFont="1" applyFill="1" applyBorder="1" applyAlignment="1">
      <alignment vertical="center"/>
    </xf>
    <xf numFmtId="0" fontId="7" fillId="34" borderId="28" xfId="0" applyFont="1" applyFill="1" applyBorder="1" applyAlignment="1">
      <alignment vertical="center"/>
    </xf>
    <xf numFmtId="0" fontId="7" fillId="34" borderId="30" xfId="0" applyFont="1" applyFill="1" applyBorder="1" applyAlignment="1">
      <alignment vertical="center"/>
    </xf>
    <xf numFmtId="0" fontId="7" fillId="0" borderId="12" xfId="0" applyFont="1" applyFill="1" applyBorder="1" applyAlignment="1">
      <alignment vertical="center"/>
    </xf>
    <xf numFmtId="38" fontId="7" fillId="0" borderId="10" xfId="51" applyFont="1" applyFill="1" applyBorder="1" applyAlignment="1">
      <alignment vertical="center" shrinkToFit="1"/>
    </xf>
    <xf numFmtId="0" fontId="7" fillId="33" borderId="37" xfId="0" applyFont="1" applyFill="1" applyBorder="1" applyAlignment="1">
      <alignment vertical="center"/>
    </xf>
    <xf numFmtId="38" fontId="9" fillId="0" borderId="0" xfId="51" applyFont="1" applyAlignment="1">
      <alignment/>
    </xf>
    <xf numFmtId="38" fontId="9" fillId="0" borderId="26" xfId="51" applyFont="1" applyBorder="1" applyAlignment="1">
      <alignment horizontal="center"/>
    </xf>
    <xf numFmtId="38" fontId="9" fillId="0" borderId="23" xfId="51" applyFont="1" applyBorder="1" applyAlignment="1">
      <alignment horizontal="center"/>
    </xf>
    <xf numFmtId="38" fontId="9" fillId="0" borderId="12" xfId="51" applyFont="1" applyBorder="1" applyAlignment="1">
      <alignment horizontal="center"/>
    </xf>
    <xf numFmtId="38" fontId="9" fillId="0" borderId="47" xfId="51" applyFont="1" applyBorder="1" applyAlignment="1">
      <alignment horizontal="center"/>
    </xf>
    <xf numFmtId="38" fontId="13" fillId="0" borderId="0" xfId="51" applyFont="1" applyAlignment="1">
      <alignment/>
    </xf>
    <xf numFmtId="38" fontId="9" fillId="0" borderId="26" xfId="51" applyFont="1" applyBorder="1" applyAlignment="1" quotePrefix="1">
      <alignment horizontal="center"/>
    </xf>
    <xf numFmtId="38" fontId="9" fillId="0" borderId="17" xfId="51" applyFont="1" applyBorder="1" applyAlignment="1">
      <alignment horizontal="center"/>
    </xf>
    <xf numFmtId="38" fontId="9" fillId="0" borderId="0" xfId="51" applyFont="1" applyAlignment="1" quotePrefix="1">
      <alignment vertical="center"/>
    </xf>
    <xf numFmtId="38" fontId="9" fillId="0" borderId="0" xfId="51" applyFont="1" applyAlignment="1">
      <alignment horizontal="center"/>
    </xf>
    <xf numFmtId="38" fontId="9" fillId="0" borderId="0" xfId="51" applyFont="1" applyAlignment="1">
      <alignment horizontal="center" vertical="center"/>
    </xf>
    <xf numFmtId="38" fontId="9" fillId="0" borderId="0" xfId="51" applyFont="1" applyBorder="1" applyAlignment="1">
      <alignment horizontal="right"/>
    </xf>
    <xf numFmtId="38" fontId="9" fillId="0" borderId="0" xfId="51" applyFont="1" applyBorder="1" applyAlignment="1" quotePrefix="1">
      <alignment/>
    </xf>
    <xf numFmtId="38" fontId="9" fillId="0" borderId="0" xfId="51" applyFont="1" applyBorder="1" applyAlignment="1">
      <alignment horizontal="center" vertical="center"/>
    </xf>
    <xf numFmtId="0" fontId="7" fillId="33" borderId="51" xfId="0" applyFont="1" applyFill="1" applyBorder="1" applyAlignment="1">
      <alignment vertical="center"/>
    </xf>
    <xf numFmtId="38" fontId="7" fillId="0" borderId="11" xfId="51" applyFont="1" applyFill="1" applyBorder="1" applyAlignment="1">
      <alignment vertical="center" shrinkToFit="1"/>
    </xf>
    <xf numFmtId="38" fontId="7" fillId="0" borderId="10" xfId="51" applyFont="1" applyFill="1" applyBorder="1" applyAlignment="1">
      <alignment horizontal="center" vertical="center" shrinkToFit="1"/>
    </xf>
    <xf numFmtId="0" fontId="7" fillId="0" borderId="19" xfId="51" applyNumberFormat="1" applyFont="1" applyFill="1" applyBorder="1" applyAlignment="1">
      <alignment vertical="center"/>
    </xf>
    <xf numFmtId="177" fontId="7" fillId="0" borderId="19" xfId="51" applyNumberFormat="1" applyFont="1" applyFill="1" applyBorder="1" applyAlignment="1">
      <alignment horizontal="left" vertical="center"/>
    </xf>
    <xf numFmtId="38" fontId="0" fillId="0" borderId="0" xfId="51" applyFont="1" applyAlignment="1">
      <alignment horizontal="center" vertical="center"/>
    </xf>
    <xf numFmtId="38" fontId="0" fillId="0" borderId="0" xfId="51" applyFont="1" applyAlignment="1">
      <alignment vertical="center"/>
    </xf>
    <xf numFmtId="38" fontId="0" fillId="0" borderId="26" xfId="51" applyFont="1" applyBorder="1" applyAlignment="1">
      <alignment horizontal="center" vertical="center" shrinkToFit="1"/>
    </xf>
    <xf numFmtId="38" fontId="0" fillId="0" borderId="0" xfId="51" applyFont="1" applyAlignment="1">
      <alignment vertical="center" shrinkToFit="1"/>
    </xf>
    <xf numFmtId="38" fontId="0" fillId="0" borderId="0" xfId="51" applyFont="1" applyAlignment="1" quotePrefix="1">
      <alignment vertical="center"/>
    </xf>
    <xf numFmtId="38" fontId="0" fillId="0" borderId="0" xfId="51" applyFont="1" applyAlignment="1" quotePrefix="1">
      <alignment horizontal="center" vertical="center"/>
    </xf>
    <xf numFmtId="38" fontId="14" fillId="0" borderId="0" xfId="51" applyFont="1" applyAlignment="1">
      <alignment vertical="center"/>
    </xf>
    <xf numFmtId="0" fontId="6" fillId="0" borderId="23" xfId="0" applyFont="1" applyFill="1" applyBorder="1" applyAlignment="1">
      <alignment horizontal="center" vertical="center"/>
    </xf>
    <xf numFmtId="0" fontId="7" fillId="34" borderId="0" xfId="0" applyFont="1" applyFill="1" applyBorder="1" applyAlignment="1">
      <alignment horizontal="left" vertical="center" shrinkToFit="1"/>
    </xf>
    <xf numFmtId="0" fontId="7" fillId="34" borderId="52" xfId="0" applyFont="1" applyFill="1" applyBorder="1" applyAlignment="1">
      <alignment horizontal="left" vertical="center" shrinkToFit="1"/>
    </xf>
    <xf numFmtId="0" fontId="6" fillId="33" borderId="0" xfId="0" applyFont="1" applyFill="1" applyBorder="1" applyAlignment="1">
      <alignment horizontal="right" vertical="center"/>
    </xf>
    <xf numFmtId="0" fontId="8" fillId="34" borderId="0" xfId="0" applyFont="1" applyFill="1" applyAlignment="1">
      <alignment vertical="center"/>
    </xf>
    <xf numFmtId="0" fontId="6" fillId="34" borderId="0" xfId="0" applyFont="1" applyFill="1" applyAlignment="1">
      <alignment vertical="center"/>
    </xf>
    <xf numFmtId="0" fontId="7" fillId="34" borderId="0" xfId="0" applyFont="1" applyFill="1" applyAlignment="1">
      <alignment vertical="center"/>
    </xf>
    <xf numFmtId="0" fontId="7" fillId="34" borderId="0" xfId="0" applyFont="1" applyFill="1" applyBorder="1" applyAlignment="1">
      <alignment horizontal="right" vertical="center"/>
    </xf>
    <xf numFmtId="0" fontId="6" fillId="34" borderId="0" xfId="0" applyFont="1" applyFill="1" applyBorder="1" applyAlignment="1">
      <alignment/>
    </xf>
    <xf numFmtId="0" fontId="6" fillId="34" borderId="0" xfId="0" applyFont="1" applyFill="1" applyAlignment="1">
      <alignment/>
    </xf>
    <xf numFmtId="0" fontId="7" fillId="34" borderId="0" xfId="0" applyFont="1" applyFill="1" applyBorder="1" applyAlignment="1">
      <alignment vertical="center"/>
    </xf>
    <xf numFmtId="191" fontId="6" fillId="34" borderId="0" xfId="0" applyNumberFormat="1" applyFont="1" applyFill="1" applyBorder="1" applyAlignment="1">
      <alignment/>
    </xf>
    <xf numFmtId="191" fontId="6" fillId="34" borderId="0" xfId="0" applyNumberFormat="1" applyFont="1" applyFill="1" applyBorder="1" applyAlignment="1">
      <alignment vertical="top"/>
    </xf>
    <xf numFmtId="0" fontId="6" fillId="34" borderId="0" xfId="0" applyFont="1" applyFill="1" applyBorder="1" applyAlignment="1">
      <alignment vertical="center"/>
    </xf>
    <xf numFmtId="0" fontId="7" fillId="34" borderId="0" xfId="0" applyFont="1" applyFill="1" applyAlignment="1">
      <alignment vertical="center" wrapText="1"/>
    </xf>
    <xf numFmtId="0" fontId="7" fillId="34" borderId="0" xfId="0" applyFont="1" applyFill="1" applyBorder="1" applyAlignment="1">
      <alignment vertical="center" shrinkToFit="1"/>
    </xf>
    <xf numFmtId="0" fontId="7" fillId="34" borderId="0" xfId="0" applyFont="1" applyFill="1" applyBorder="1" applyAlignment="1">
      <alignment/>
    </xf>
    <xf numFmtId="0" fontId="7" fillId="34" borderId="0" xfId="0" applyFont="1" applyFill="1" applyBorder="1" applyAlignment="1">
      <alignment horizontal="center" vertical="center"/>
    </xf>
    <xf numFmtId="0" fontId="7" fillId="34" borderId="0" xfId="0" applyFont="1" applyFill="1" applyAlignment="1">
      <alignment/>
    </xf>
    <xf numFmtId="0" fontId="7" fillId="34" borderId="0" xfId="0" applyFont="1" applyFill="1" applyBorder="1" applyAlignment="1">
      <alignment vertical="top" wrapText="1"/>
    </xf>
    <xf numFmtId="0" fontId="8" fillId="34" borderId="0" xfId="0" applyFont="1" applyFill="1" applyAlignment="1">
      <alignment horizontal="left" vertical="center"/>
    </xf>
    <xf numFmtId="0" fontId="8" fillId="34" borderId="52" xfId="0" applyFont="1" applyFill="1" applyBorder="1" applyAlignment="1">
      <alignment vertical="center"/>
    </xf>
    <xf numFmtId="0" fontId="7" fillId="34" borderId="26" xfId="0" applyFont="1" applyFill="1" applyBorder="1" applyAlignment="1">
      <alignment horizontal="center" vertical="center"/>
    </xf>
    <xf numFmtId="0" fontId="7" fillId="34" borderId="0" xfId="0" applyFont="1" applyFill="1" applyBorder="1" applyAlignment="1">
      <alignment/>
    </xf>
    <xf numFmtId="0" fontId="7" fillId="34" borderId="0" xfId="0" applyFont="1" applyFill="1" applyBorder="1" applyAlignment="1">
      <alignment horizontal="distributed" vertical="center" indent="2"/>
    </xf>
    <xf numFmtId="177" fontId="7" fillId="34" borderId="0" xfId="0" applyNumberFormat="1" applyFont="1" applyFill="1" applyBorder="1" applyAlignment="1">
      <alignment vertical="center"/>
    </xf>
    <xf numFmtId="0" fontId="7" fillId="34" borderId="0" xfId="0" applyFont="1" applyFill="1" applyBorder="1" applyAlignment="1">
      <alignment horizontal="distributed" vertical="center"/>
    </xf>
    <xf numFmtId="0" fontId="7" fillId="34" borderId="0" xfId="0" applyFont="1" applyFill="1" applyAlignment="1">
      <alignment/>
    </xf>
    <xf numFmtId="0" fontId="10" fillId="34" borderId="0" xfId="0" applyFont="1" applyFill="1" applyBorder="1" applyAlignment="1">
      <alignment vertical="center"/>
    </xf>
    <xf numFmtId="0" fontId="7" fillId="34" borderId="0" xfId="0" applyFont="1" applyFill="1" applyAlignment="1">
      <alignment horizontal="right"/>
    </xf>
    <xf numFmtId="0" fontId="7" fillId="34" borderId="33" xfId="0" applyFont="1" applyFill="1" applyBorder="1" applyAlignment="1">
      <alignment/>
    </xf>
    <xf numFmtId="0" fontId="20" fillId="34" borderId="0" xfId="0" applyFont="1" applyFill="1" applyAlignment="1">
      <alignment/>
    </xf>
    <xf numFmtId="0" fontId="6" fillId="0" borderId="17"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wrapText="1"/>
    </xf>
    <xf numFmtId="0" fontId="7" fillId="0" borderId="0" xfId="0" applyFont="1" applyFill="1" applyBorder="1" applyAlignment="1">
      <alignment horizontal="center" vertical="center" shrinkToFit="1"/>
    </xf>
    <xf numFmtId="0" fontId="9" fillId="0" borderId="0" xfId="0" applyFont="1" applyFill="1" applyBorder="1" applyAlignment="1">
      <alignment horizontal="distributed" vertical="center" wrapText="1"/>
    </xf>
    <xf numFmtId="41" fontId="7" fillId="0" borderId="0" xfId="0" applyNumberFormat="1" applyFont="1" applyFill="1" applyBorder="1" applyAlignment="1">
      <alignment horizontal="distributed" vertical="center"/>
    </xf>
    <xf numFmtId="0" fontId="6" fillId="0" borderId="0" xfId="0" applyFont="1" applyFill="1" applyBorder="1" applyAlignment="1">
      <alignment/>
    </xf>
    <xf numFmtId="0" fontId="11" fillId="0" borderId="17" xfId="0" applyFont="1" applyFill="1" applyBorder="1" applyAlignment="1">
      <alignment horizontal="center" vertical="center"/>
    </xf>
    <xf numFmtId="41" fontId="7" fillId="0" borderId="53" xfId="0" applyNumberFormat="1" applyFont="1" applyFill="1" applyBorder="1" applyAlignment="1">
      <alignment vertical="center"/>
    </xf>
    <xf numFmtId="41" fontId="7" fillId="0" borderId="54" xfId="0" applyNumberFormat="1" applyFont="1" applyFill="1" applyBorder="1" applyAlignment="1">
      <alignment vertical="center"/>
    </xf>
    <xf numFmtId="183" fontId="7" fillId="0" borderId="54" xfId="0" applyNumberFormat="1" applyFont="1" applyFill="1" applyBorder="1" applyAlignment="1">
      <alignment vertical="center"/>
    </xf>
    <xf numFmtId="41" fontId="7" fillId="0" borderId="15" xfId="0" applyNumberFormat="1" applyFont="1" applyFill="1" applyBorder="1" applyAlignment="1">
      <alignment vertical="center"/>
    </xf>
    <xf numFmtId="41" fontId="7" fillId="0" borderId="39" xfId="0" applyNumberFormat="1" applyFont="1" applyFill="1" applyBorder="1" applyAlignment="1">
      <alignment vertical="center"/>
    </xf>
    <xf numFmtId="41" fontId="7" fillId="0" borderId="55" xfId="0" applyNumberFormat="1" applyFont="1" applyFill="1" applyBorder="1" applyAlignment="1">
      <alignment vertical="center"/>
    </xf>
    <xf numFmtId="41" fontId="7" fillId="0" borderId="19" xfId="0" applyNumberFormat="1" applyFont="1" applyFill="1" applyBorder="1" applyAlignment="1">
      <alignment vertical="center"/>
    </xf>
    <xf numFmtId="41" fontId="7" fillId="0" borderId="44" xfId="0" applyNumberFormat="1" applyFont="1" applyFill="1" applyBorder="1" applyAlignment="1">
      <alignment vertical="center"/>
    </xf>
    <xf numFmtId="41" fontId="7" fillId="0" borderId="25" xfId="0" applyNumberFormat="1" applyFont="1" applyFill="1" applyBorder="1" applyAlignment="1">
      <alignment vertical="center"/>
    </xf>
    <xf numFmtId="183" fontId="7" fillId="0" borderId="56" xfId="0" applyNumberFormat="1" applyFont="1" applyFill="1" applyBorder="1" applyAlignment="1">
      <alignment vertical="center"/>
    </xf>
    <xf numFmtId="41" fontId="7" fillId="0" borderId="22" xfId="0" applyNumberFormat="1" applyFont="1" applyFill="1" applyBorder="1" applyAlignment="1">
      <alignment vertical="center"/>
    </xf>
    <xf numFmtId="183" fontId="7" fillId="0" borderId="57" xfId="0" applyNumberFormat="1" applyFont="1" applyFill="1" applyBorder="1" applyAlignment="1">
      <alignment vertical="center"/>
    </xf>
    <xf numFmtId="183" fontId="7" fillId="0" borderId="55" xfId="0" applyNumberFormat="1" applyFont="1" applyFill="1" applyBorder="1" applyAlignment="1">
      <alignment vertical="center"/>
    </xf>
    <xf numFmtId="183" fontId="7" fillId="0" borderId="25" xfId="0" applyNumberFormat="1" applyFont="1" applyFill="1" applyBorder="1" applyAlignment="1">
      <alignment vertical="center"/>
    </xf>
    <xf numFmtId="41" fontId="7" fillId="0" borderId="25" xfId="0" applyNumberFormat="1" applyFont="1" applyFill="1" applyBorder="1" applyAlignment="1">
      <alignment horizontal="right" vertical="center"/>
    </xf>
    <xf numFmtId="41" fontId="7" fillId="0" borderId="36" xfId="0" applyNumberFormat="1" applyFont="1" applyFill="1" applyBorder="1" applyAlignment="1">
      <alignment vertical="center"/>
    </xf>
    <xf numFmtId="41" fontId="7" fillId="0" borderId="58" xfId="0" applyNumberFormat="1" applyFont="1" applyFill="1" applyBorder="1" applyAlignment="1">
      <alignment vertical="center"/>
    </xf>
    <xf numFmtId="183" fontId="7" fillId="0" borderId="58" xfId="0" applyNumberFormat="1" applyFont="1" applyFill="1" applyBorder="1" applyAlignment="1">
      <alignment vertical="center"/>
    </xf>
    <xf numFmtId="41" fontId="7" fillId="0" borderId="20" xfId="0" applyNumberFormat="1" applyFont="1" applyFill="1" applyBorder="1" applyAlignment="1">
      <alignment vertical="center"/>
    </xf>
    <xf numFmtId="41" fontId="7" fillId="0" borderId="59" xfId="0" applyNumberFormat="1" applyFont="1" applyFill="1" applyBorder="1" applyAlignment="1">
      <alignment vertical="center"/>
    </xf>
    <xf numFmtId="41" fontId="7" fillId="0" borderId="57" xfId="0" applyNumberFormat="1" applyFont="1" applyFill="1" applyBorder="1" applyAlignment="1">
      <alignment vertical="center"/>
    </xf>
    <xf numFmtId="41" fontId="7" fillId="0" borderId="45" xfId="0" applyNumberFormat="1" applyFont="1" applyFill="1" applyBorder="1" applyAlignment="1">
      <alignment vertical="center"/>
    </xf>
    <xf numFmtId="187" fontId="7" fillId="0" borderId="56" xfId="0" applyNumberFormat="1" applyFont="1" applyFill="1" applyBorder="1" applyAlignment="1">
      <alignment vertical="center"/>
    </xf>
    <xf numFmtId="0" fontId="7" fillId="0" borderId="60" xfId="0" applyFont="1" applyFill="1" applyBorder="1" applyAlignment="1">
      <alignment vertical="center"/>
    </xf>
    <xf numFmtId="0" fontId="7" fillId="0" borderId="61" xfId="0" applyFont="1" applyFill="1" applyBorder="1" applyAlignment="1">
      <alignment horizontal="center" vertical="center" shrinkToFit="1"/>
    </xf>
    <xf numFmtId="187" fontId="7" fillId="0" borderId="62" xfId="51" applyNumberFormat="1" applyFont="1" applyFill="1" applyBorder="1" applyAlignment="1">
      <alignment vertical="center"/>
    </xf>
    <xf numFmtId="181" fontId="7" fillId="0" borderId="53" xfId="0" applyNumberFormat="1" applyFont="1" applyFill="1" applyBorder="1" applyAlignment="1">
      <alignment vertical="center"/>
    </xf>
    <xf numFmtId="181" fontId="7" fillId="0" borderId="54" xfId="0" applyNumberFormat="1" applyFont="1" applyFill="1" applyBorder="1" applyAlignment="1">
      <alignment vertical="center"/>
    </xf>
    <xf numFmtId="181" fontId="7" fillId="0" borderId="54" xfId="0" applyNumberFormat="1" applyFont="1" applyFill="1" applyBorder="1" applyAlignment="1">
      <alignment vertical="center" shrinkToFit="1"/>
    </xf>
    <xf numFmtId="183" fontId="7" fillId="0" borderId="54" xfId="0" applyNumberFormat="1" applyFont="1" applyFill="1" applyBorder="1" applyAlignment="1">
      <alignment vertical="center" shrinkToFit="1"/>
    </xf>
    <xf numFmtId="181" fontId="7" fillId="0" borderId="39" xfId="0" applyNumberFormat="1" applyFont="1" applyFill="1" applyBorder="1" applyAlignment="1">
      <alignment vertical="center"/>
    </xf>
    <xf numFmtId="181" fontId="7" fillId="0" borderId="55" xfId="0" applyNumberFormat="1" applyFont="1" applyFill="1" applyBorder="1" applyAlignment="1">
      <alignment vertical="center"/>
    </xf>
    <xf numFmtId="183" fontId="7" fillId="0" borderId="55" xfId="0" applyNumberFormat="1" applyFont="1" applyFill="1" applyBorder="1" applyAlignment="1">
      <alignment vertical="center" shrinkToFit="1"/>
    </xf>
    <xf numFmtId="181" fontId="7" fillId="0" borderId="36" xfId="0" applyNumberFormat="1" applyFont="1" applyFill="1" applyBorder="1" applyAlignment="1">
      <alignment vertical="center"/>
    </xf>
    <xf numFmtId="181" fontId="7" fillId="0" borderId="58" xfId="0" applyNumberFormat="1" applyFont="1" applyFill="1" applyBorder="1" applyAlignment="1">
      <alignment vertical="center"/>
    </xf>
    <xf numFmtId="183" fontId="7" fillId="0" borderId="58" xfId="0" applyNumberFormat="1" applyFont="1" applyFill="1" applyBorder="1" applyAlignment="1">
      <alignment vertical="center" shrinkToFit="1"/>
    </xf>
    <xf numFmtId="181" fontId="7" fillId="0" borderId="20" xfId="0" applyNumberFormat="1" applyFont="1" applyFill="1" applyBorder="1" applyAlignment="1">
      <alignment vertical="center"/>
    </xf>
    <xf numFmtId="181" fontId="7" fillId="0" borderId="59" xfId="0" applyNumberFormat="1" applyFont="1" applyFill="1" applyBorder="1" applyAlignment="1">
      <alignment vertical="center"/>
    </xf>
    <xf numFmtId="181" fontId="7" fillId="0" borderId="57" xfId="0" applyNumberFormat="1" applyFont="1" applyFill="1" applyBorder="1" applyAlignment="1">
      <alignment vertical="center"/>
    </xf>
    <xf numFmtId="181" fontId="7" fillId="0" borderId="57" xfId="0" applyNumberFormat="1" applyFont="1" applyFill="1" applyBorder="1" applyAlignment="1">
      <alignment vertical="center" shrinkToFit="1"/>
    </xf>
    <xf numFmtId="183" fontId="7" fillId="0" borderId="57" xfId="0" applyNumberFormat="1" applyFont="1" applyFill="1" applyBorder="1" applyAlignment="1">
      <alignment vertical="center" shrinkToFit="1"/>
    </xf>
    <xf numFmtId="181" fontId="7" fillId="0" borderId="44" xfId="0" applyNumberFormat="1" applyFont="1" applyFill="1" applyBorder="1" applyAlignment="1">
      <alignment vertical="center" shrinkToFit="1"/>
    </xf>
    <xf numFmtId="181" fontId="7" fillId="0" borderId="25" xfId="0" applyNumberFormat="1" applyFont="1" applyFill="1" applyBorder="1" applyAlignment="1">
      <alignment vertical="center"/>
    </xf>
    <xf numFmtId="181" fontId="7" fillId="0" borderId="58" xfId="0" applyNumberFormat="1" applyFont="1" applyFill="1" applyBorder="1" applyAlignment="1">
      <alignment vertical="center" shrinkToFit="1"/>
    </xf>
    <xf numFmtId="183" fontId="7" fillId="0" borderId="25" xfId="0" applyNumberFormat="1" applyFont="1" applyFill="1" applyBorder="1" applyAlignment="1">
      <alignment vertical="center" shrinkToFit="1"/>
    </xf>
    <xf numFmtId="181" fontId="7" fillId="0" borderId="22" xfId="0" applyNumberFormat="1" applyFont="1" applyFill="1" applyBorder="1" applyAlignment="1">
      <alignment vertical="center"/>
    </xf>
    <xf numFmtId="181" fontId="7" fillId="0" borderId="63" xfId="0" applyNumberFormat="1" applyFont="1" applyFill="1" applyBorder="1" applyAlignment="1">
      <alignment vertical="center" shrinkToFit="1"/>
    </xf>
    <xf numFmtId="181" fontId="7" fillId="0" borderId="62" xfId="0" applyNumberFormat="1" applyFont="1" applyFill="1" applyBorder="1" applyAlignment="1">
      <alignment vertical="center"/>
    </xf>
    <xf numFmtId="181" fontId="7" fillId="0" borderId="10" xfId="0" applyNumberFormat="1" applyFont="1" applyFill="1" applyBorder="1" applyAlignment="1">
      <alignment vertical="center" shrinkToFit="1"/>
    </xf>
    <xf numFmtId="181" fontId="7" fillId="0" borderId="10" xfId="0" applyNumberFormat="1" applyFont="1" applyFill="1" applyBorder="1" applyAlignment="1">
      <alignment vertical="center"/>
    </xf>
    <xf numFmtId="183" fontId="7" fillId="0" borderId="62" xfId="0" applyNumberFormat="1" applyFont="1" applyFill="1" applyBorder="1" applyAlignment="1">
      <alignment vertical="center" shrinkToFit="1"/>
    </xf>
    <xf numFmtId="181" fontId="7" fillId="0" borderId="14" xfId="0" applyNumberFormat="1" applyFont="1" applyFill="1" applyBorder="1" applyAlignment="1">
      <alignment vertical="center"/>
    </xf>
    <xf numFmtId="184" fontId="7" fillId="0" borderId="54" xfId="0" applyNumberFormat="1" applyFont="1" applyFill="1" applyBorder="1" applyAlignment="1">
      <alignment vertical="center"/>
    </xf>
    <xf numFmtId="181" fontId="7" fillId="0" borderId="44" xfId="0" applyNumberFormat="1" applyFont="1" applyFill="1" applyBorder="1" applyAlignment="1">
      <alignment vertical="center"/>
    </xf>
    <xf numFmtId="181" fontId="7" fillId="0" borderId="56" xfId="0" applyNumberFormat="1" applyFont="1" applyFill="1" applyBorder="1" applyAlignment="1">
      <alignment vertical="center"/>
    </xf>
    <xf numFmtId="181" fontId="7" fillId="0" borderId="51" xfId="0" applyNumberFormat="1" applyFont="1" applyFill="1" applyBorder="1" applyAlignment="1">
      <alignment vertical="center"/>
    </xf>
    <xf numFmtId="181" fontId="7" fillId="0" borderId="63" xfId="0" applyNumberFormat="1" applyFont="1" applyFill="1" applyBorder="1" applyAlignment="1">
      <alignment vertical="center"/>
    </xf>
    <xf numFmtId="41" fontId="7" fillId="0" borderId="57" xfId="51" applyNumberFormat="1" applyFont="1" applyFill="1" applyBorder="1" applyAlignment="1">
      <alignment vertical="center" shrinkToFit="1"/>
    </xf>
    <xf numFmtId="41" fontId="7" fillId="0" borderId="45" xfId="51" applyNumberFormat="1" applyFont="1" applyFill="1" applyBorder="1" applyAlignment="1">
      <alignment vertical="center" shrinkToFit="1"/>
    </xf>
    <xf numFmtId="41" fontId="7" fillId="0" borderId="55" xfId="51" applyNumberFormat="1" applyFont="1" applyFill="1" applyBorder="1" applyAlignment="1">
      <alignment vertical="center" shrinkToFit="1"/>
    </xf>
    <xf numFmtId="41" fontId="7" fillId="0" borderId="19" xfId="51" applyNumberFormat="1" applyFont="1" applyFill="1" applyBorder="1" applyAlignment="1">
      <alignment vertical="center" shrinkToFit="1"/>
    </xf>
    <xf numFmtId="41" fontId="7" fillId="0" borderId="44" xfId="51" applyNumberFormat="1" applyFont="1" applyFill="1" applyBorder="1" applyAlignment="1">
      <alignment vertical="center" shrinkToFit="1"/>
    </xf>
    <xf numFmtId="41" fontId="7" fillId="0" borderId="25" xfId="51" applyNumberFormat="1" applyFont="1" applyFill="1" applyBorder="1" applyAlignment="1">
      <alignment vertical="center" shrinkToFit="1"/>
    </xf>
    <xf numFmtId="41" fontId="7" fillId="0" borderId="22" xfId="51" applyNumberFormat="1" applyFont="1" applyFill="1" applyBorder="1" applyAlignment="1">
      <alignment vertical="center" shrinkToFit="1"/>
    </xf>
    <xf numFmtId="41" fontId="7" fillId="0" borderId="63" xfId="51" applyNumberFormat="1" applyFont="1" applyFill="1" applyBorder="1" applyAlignment="1">
      <alignment vertical="center" shrinkToFit="1"/>
    </xf>
    <xf numFmtId="197" fontId="7" fillId="0" borderId="62" xfId="51" applyNumberFormat="1" applyFont="1" applyFill="1" applyBorder="1" applyAlignment="1">
      <alignment vertical="center" shrinkToFit="1"/>
    </xf>
    <xf numFmtId="41" fontId="7" fillId="0" borderId="51" xfId="51" applyNumberFormat="1" applyFont="1" applyFill="1" applyBorder="1" applyAlignment="1">
      <alignment vertical="center" shrinkToFit="1"/>
    </xf>
    <xf numFmtId="41" fontId="7" fillId="0" borderId="62" xfId="51" applyNumberFormat="1" applyFont="1" applyFill="1" applyBorder="1" applyAlignment="1">
      <alignment vertical="center" shrinkToFit="1"/>
    </xf>
    <xf numFmtId="41" fontId="7" fillId="0" borderId="14" xfId="51" applyNumberFormat="1" applyFont="1" applyFill="1" applyBorder="1" applyAlignment="1">
      <alignment vertical="center" shrinkToFit="1"/>
    </xf>
    <xf numFmtId="41" fontId="7" fillId="0" borderId="10" xfId="51" applyNumberFormat="1" applyFont="1" applyFill="1" applyBorder="1" applyAlignment="1">
      <alignment vertical="center" shrinkToFit="1"/>
    </xf>
    <xf numFmtId="41" fontId="7" fillId="0" borderId="11" xfId="51" applyNumberFormat="1" applyFont="1" applyFill="1" applyBorder="1" applyAlignment="1">
      <alignment vertical="center" shrinkToFit="1"/>
    </xf>
    <xf numFmtId="41" fontId="7" fillId="0" borderId="57" xfId="0" applyNumberFormat="1" applyFont="1" applyFill="1" applyBorder="1" applyAlignment="1">
      <alignment vertical="center" shrinkToFit="1"/>
    </xf>
    <xf numFmtId="197" fontId="7" fillId="0" borderId="57" xfId="0" applyNumberFormat="1" applyFont="1" applyFill="1" applyBorder="1" applyAlignment="1">
      <alignment vertical="center" shrinkToFit="1"/>
    </xf>
    <xf numFmtId="41" fontId="7" fillId="0" borderId="55" xfId="0" applyNumberFormat="1" applyFont="1" applyFill="1" applyBorder="1" applyAlignment="1">
      <alignment vertical="center" shrinkToFit="1"/>
    </xf>
    <xf numFmtId="197" fontId="7" fillId="0" borderId="55" xfId="0" applyNumberFormat="1" applyFont="1" applyFill="1" applyBorder="1" applyAlignment="1">
      <alignment vertical="center" shrinkToFit="1"/>
    </xf>
    <xf numFmtId="41" fontId="7" fillId="0" borderId="25" xfId="0" applyNumberFormat="1" applyFont="1" applyFill="1" applyBorder="1" applyAlignment="1">
      <alignment vertical="center" shrinkToFit="1"/>
    </xf>
    <xf numFmtId="197" fontId="7" fillId="0" borderId="25" xfId="0" applyNumberFormat="1" applyFont="1" applyFill="1" applyBorder="1" applyAlignment="1">
      <alignment vertical="center" shrinkToFit="1"/>
    </xf>
    <xf numFmtId="41" fontId="7" fillId="0" borderId="62" xfId="0" applyNumberFormat="1" applyFont="1" applyFill="1" applyBorder="1" applyAlignment="1">
      <alignment vertical="center" shrinkToFit="1"/>
    </xf>
    <xf numFmtId="41" fontId="7" fillId="0" borderId="21" xfId="0" applyNumberFormat="1" applyFont="1" applyFill="1" applyBorder="1" applyAlignment="1">
      <alignment vertical="center" shrinkToFit="1"/>
    </xf>
    <xf numFmtId="41" fontId="7" fillId="0" borderId="64" xfId="0" applyNumberFormat="1" applyFont="1" applyFill="1" applyBorder="1" applyAlignment="1">
      <alignment vertical="center" shrinkToFit="1"/>
    </xf>
    <xf numFmtId="41" fontId="7" fillId="0" borderId="65" xfId="0" applyNumberFormat="1" applyFont="1" applyFill="1" applyBorder="1" applyAlignment="1">
      <alignment vertical="center" shrinkToFit="1"/>
    </xf>
    <xf numFmtId="41" fontId="7" fillId="0" borderId="10" xfId="0" applyNumberFormat="1" applyFont="1" applyFill="1" applyBorder="1" applyAlignment="1">
      <alignment vertical="center" shrinkToFit="1"/>
    </xf>
    <xf numFmtId="197" fontId="7" fillId="0" borderId="10" xfId="0" applyNumberFormat="1" applyFont="1" applyFill="1" applyBorder="1" applyAlignment="1">
      <alignment vertical="center" shrinkToFit="1"/>
    </xf>
    <xf numFmtId="41" fontId="7" fillId="0" borderId="66" xfId="0" applyNumberFormat="1" applyFont="1" applyFill="1" applyBorder="1" applyAlignment="1">
      <alignment vertical="center" shrinkToFit="1"/>
    </xf>
    <xf numFmtId="41" fontId="7" fillId="0" borderId="14" xfId="0" applyNumberFormat="1" applyFont="1" applyFill="1" applyBorder="1" applyAlignment="1">
      <alignment vertical="center" shrinkToFit="1"/>
    </xf>
    <xf numFmtId="186" fontId="7" fillId="0" borderId="57" xfId="0" applyNumberFormat="1" applyFont="1" applyFill="1" applyBorder="1" applyAlignment="1">
      <alignment vertical="center"/>
    </xf>
    <xf numFmtId="184" fontId="7" fillId="0" borderId="57" xfId="0" applyNumberFormat="1" applyFont="1" applyFill="1" applyBorder="1" applyAlignment="1">
      <alignment vertical="center"/>
    </xf>
    <xf numFmtId="186" fontId="7" fillId="0" borderId="55" xfId="0" applyNumberFormat="1" applyFont="1" applyFill="1" applyBorder="1" applyAlignment="1">
      <alignment vertical="center"/>
    </xf>
    <xf numFmtId="186" fontId="7" fillId="0" borderId="58" xfId="0" applyNumberFormat="1" applyFont="1" applyFill="1" applyBorder="1" applyAlignment="1">
      <alignment vertical="center"/>
    </xf>
    <xf numFmtId="186" fontId="7" fillId="0" borderId="25" xfId="0" applyNumberFormat="1" applyFont="1" applyFill="1" applyBorder="1" applyAlignment="1">
      <alignment vertical="center"/>
    </xf>
    <xf numFmtId="186" fontId="7" fillId="0" borderId="22" xfId="0" applyNumberFormat="1" applyFont="1" applyFill="1" applyBorder="1" applyAlignment="1">
      <alignment vertical="center"/>
    </xf>
    <xf numFmtId="186" fontId="7" fillId="0" borderId="63" xfId="0" applyNumberFormat="1" applyFont="1" applyFill="1" applyBorder="1" applyAlignment="1">
      <alignment vertical="center"/>
    </xf>
    <xf numFmtId="186" fontId="7" fillId="0" borderId="62" xfId="0" applyNumberFormat="1" applyFont="1" applyFill="1" applyBorder="1" applyAlignment="1">
      <alignment vertical="center"/>
    </xf>
    <xf numFmtId="186" fontId="7" fillId="0" borderId="66" xfId="0" applyNumberFormat="1" applyFont="1" applyFill="1" applyBorder="1" applyAlignment="1">
      <alignment vertical="center"/>
    </xf>
    <xf numFmtId="186" fontId="7" fillId="0" borderId="14" xfId="0" applyNumberFormat="1" applyFont="1" applyFill="1" applyBorder="1" applyAlignment="1">
      <alignment vertical="center"/>
    </xf>
    <xf numFmtId="207" fontId="7" fillId="0" borderId="55" xfId="0" applyNumberFormat="1" applyFont="1" applyFill="1" applyBorder="1" applyAlignment="1">
      <alignment vertical="center"/>
    </xf>
    <xf numFmtId="186" fontId="7" fillId="0" borderId="44" xfId="0" applyNumberFormat="1" applyFont="1" applyFill="1" applyBorder="1" applyAlignment="1">
      <alignment vertical="center"/>
    </xf>
    <xf numFmtId="207" fontId="7" fillId="0" borderId="25" xfId="0" applyNumberFormat="1" applyFont="1" applyFill="1" applyBorder="1" applyAlignment="1">
      <alignment vertical="center"/>
    </xf>
    <xf numFmtId="186" fontId="7" fillId="0" borderId="36" xfId="0" applyNumberFormat="1" applyFont="1" applyFill="1" applyBorder="1" applyAlignment="1">
      <alignment vertical="center"/>
    </xf>
    <xf numFmtId="186" fontId="7" fillId="0" borderId="20" xfId="0" applyNumberFormat="1" applyFont="1" applyFill="1" applyBorder="1" applyAlignment="1">
      <alignment vertical="center"/>
    </xf>
    <xf numFmtId="186" fontId="7" fillId="0" borderId="21" xfId="0" applyNumberFormat="1" applyFont="1" applyFill="1" applyBorder="1" applyAlignment="1">
      <alignment vertical="center"/>
    </xf>
    <xf numFmtId="207" fontId="7" fillId="0" borderId="21" xfId="0" applyNumberFormat="1" applyFont="1" applyFill="1" applyBorder="1" applyAlignment="1">
      <alignment vertical="center"/>
    </xf>
    <xf numFmtId="186" fontId="7" fillId="0" borderId="10" xfId="0" applyNumberFormat="1" applyFont="1" applyFill="1" applyBorder="1" applyAlignment="1">
      <alignment vertical="center"/>
    </xf>
    <xf numFmtId="186" fontId="7" fillId="0" borderId="11" xfId="0" applyNumberFormat="1" applyFont="1" applyFill="1" applyBorder="1" applyAlignment="1">
      <alignment vertical="center"/>
    </xf>
    <xf numFmtId="41" fontId="7" fillId="0" borderId="63" xfId="0" applyNumberFormat="1" applyFont="1" applyFill="1" applyBorder="1" applyAlignment="1">
      <alignment vertical="center"/>
    </xf>
    <xf numFmtId="41" fontId="7" fillId="0" borderId="62" xfId="0" applyNumberFormat="1" applyFont="1" applyFill="1" applyBorder="1" applyAlignment="1">
      <alignment vertical="center"/>
    </xf>
    <xf numFmtId="41" fontId="7" fillId="0" borderId="14" xfId="0" applyNumberFormat="1" applyFont="1" applyFill="1" applyBorder="1" applyAlignment="1">
      <alignment vertical="center"/>
    </xf>
    <xf numFmtId="38" fontId="6" fillId="0" borderId="18" xfId="51" applyFont="1" applyFill="1" applyBorder="1" applyAlignment="1">
      <alignment vertical="center"/>
    </xf>
    <xf numFmtId="38" fontId="6" fillId="0" borderId="12" xfId="51" applyFont="1" applyFill="1" applyBorder="1" applyAlignment="1">
      <alignment vertical="center"/>
    </xf>
    <xf numFmtId="38" fontId="6" fillId="0" borderId="16" xfId="51" applyFont="1" applyFill="1" applyBorder="1" applyAlignment="1">
      <alignment vertical="center"/>
    </xf>
    <xf numFmtId="38" fontId="6" fillId="0" borderId="24" xfId="51" applyFont="1" applyFill="1" applyBorder="1" applyAlignment="1">
      <alignment vertical="center"/>
    </xf>
    <xf numFmtId="38" fontId="6" fillId="0" borderId="26" xfId="51" applyFont="1" applyFill="1" applyBorder="1" applyAlignment="1">
      <alignment vertical="center"/>
    </xf>
    <xf numFmtId="38" fontId="6" fillId="0" borderId="13" xfId="51" applyFont="1" applyFill="1" applyBorder="1" applyAlignment="1">
      <alignment vertical="center"/>
    </xf>
    <xf numFmtId="38" fontId="9" fillId="0" borderId="24" xfId="51" applyFont="1" applyBorder="1" applyAlignment="1" quotePrefix="1">
      <alignment horizontal="right" vertical="center"/>
    </xf>
    <xf numFmtId="38" fontId="9" fillId="0" borderId="12" xfId="51" applyFont="1" applyBorder="1" applyAlignment="1" quotePrefix="1">
      <alignment horizontal="right" vertical="center"/>
    </xf>
    <xf numFmtId="38" fontId="9" fillId="0" borderId="13" xfId="51" applyFont="1" applyBorder="1" applyAlignment="1" quotePrefix="1">
      <alignment horizontal="right" vertical="center"/>
    </xf>
    <xf numFmtId="38" fontId="9" fillId="0" borderId="26" xfId="51" applyFont="1" applyBorder="1" applyAlignment="1" quotePrefix="1">
      <alignment/>
    </xf>
    <xf numFmtId="38" fontId="9" fillId="0" borderId="23" xfId="51" applyFont="1" applyBorder="1" applyAlignment="1" quotePrefix="1">
      <alignment horizontal="right" vertical="center"/>
    </xf>
    <xf numFmtId="38" fontId="9" fillId="0" borderId="24" xfId="51" applyFont="1" applyBorder="1" applyAlignment="1" quotePrefix="1">
      <alignment/>
    </xf>
    <xf numFmtId="38" fontId="9" fillId="0" borderId="47" xfId="51" applyFont="1" applyBorder="1" applyAlignment="1" quotePrefix="1">
      <alignment/>
    </xf>
    <xf numFmtId="38" fontId="9" fillId="0" borderId="12" xfId="51" applyFont="1" applyBorder="1" applyAlignment="1" quotePrefix="1">
      <alignment/>
    </xf>
    <xf numFmtId="38" fontId="9" fillId="0" borderId="13" xfId="51" applyFont="1" applyBorder="1" applyAlignment="1" quotePrefix="1">
      <alignment/>
    </xf>
    <xf numFmtId="38" fontId="9" fillId="0" borderId="12" xfId="51" applyFont="1" applyFill="1" applyBorder="1" applyAlignment="1" quotePrefix="1">
      <alignment/>
    </xf>
    <xf numFmtId="38" fontId="9" fillId="0" borderId="23" xfId="51" applyFont="1" applyBorder="1" applyAlignment="1" quotePrefix="1">
      <alignment/>
    </xf>
    <xf numFmtId="38" fontId="9" fillId="0" borderId="23" xfId="51" applyFont="1" applyFill="1" applyBorder="1" applyAlignment="1" quotePrefix="1">
      <alignment/>
    </xf>
    <xf numFmtId="38" fontId="9" fillId="0" borderId="47" xfId="51" applyFont="1" applyBorder="1" applyAlignment="1" quotePrefix="1">
      <alignment/>
    </xf>
    <xf numFmtId="38" fontId="9" fillId="0" borderId="12" xfId="51" applyFont="1" applyBorder="1" applyAlignment="1" quotePrefix="1">
      <alignment/>
    </xf>
    <xf numFmtId="38" fontId="9" fillId="0" borderId="26" xfId="51" applyFont="1" applyBorder="1" applyAlignment="1" quotePrefix="1">
      <alignment/>
    </xf>
    <xf numFmtId="38" fontId="9" fillId="0" borderId="23" xfId="51" applyFont="1" applyBorder="1" applyAlignment="1" quotePrefix="1">
      <alignment/>
    </xf>
    <xf numFmtId="38" fontId="9" fillId="0" borderId="26" xfId="51" applyFont="1" applyFill="1" applyBorder="1" applyAlignment="1" quotePrefix="1">
      <alignment/>
    </xf>
    <xf numFmtId="0" fontId="7" fillId="0" borderId="67" xfId="0" applyFont="1" applyFill="1" applyBorder="1" applyAlignment="1">
      <alignment horizontal="distributed" vertical="center"/>
    </xf>
    <xf numFmtId="0" fontId="7" fillId="0" borderId="49" xfId="0" applyNumberFormat="1" applyFont="1" applyFill="1" applyBorder="1" applyAlignment="1">
      <alignment vertical="center" wrapText="1"/>
    </xf>
    <xf numFmtId="0" fontId="7" fillId="0" borderId="68" xfId="0" applyFont="1" applyFill="1" applyBorder="1" applyAlignment="1">
      <alignment horizontal="distributed" vertical="center"/>
    </xf>
    <xf numFmtId="0" fontId="7" fillId="0" borderId="28" xfId="0" applyFont="1" applyFill="1" applyBorder="1" applyAlignment="1">
      <alignment horizontal="distributed" vertical="center"/>
    </xf>
    <xf numFmtId="0" fontId="8" fillId="34" borderId="0" xfId="0" applyFont="1" applyFill="1" applyAlignment="1">
      <alignment vertical="center"/>
    </xf>
    <xf numFmtId="0" fontId="7" fillId="34" borderId="12" xfId="0" applyFont="1" applyFill="1" applyBorder="1" applyAlignment="1">
      <alignment vertical="center" wrapText="1"/>
    </xf>
    <xf numFmtId="0" fontId="0" fillId="34" borderId="32" xfId="0" applyFont="1" applyFill="1" applyBorder="1" applyAlignment="1">
      <alignment horizontal="left" vertical="center" wrapText="1"/>
    </xf>
    <xf numFmtId="0" fontId="7"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0" xfId="0" applyFont="1" applyFill="1" applyBorder="1" applyAlignment="1">
      <alignment horizontal="left" vertical="center" wrapText="1"/>
    </xf>
    <xf numFmtId="0" fontId="0" fillId="34" borderId="0" xfId="0" applyFont="1" applyFill="1" applyBorder="1" applyAlignment="1">
      <alignment horizontal="center" vertical="center"/>
    </xf>
    <xf numFmtId="0" fontId="0" fillId="34" borderId="0" xfId="0" applyFont="1" applyFill="1" applyAlignment="1">
      <alignment horizontal="left" vertical="center" wrapText="1"/>
    </xf>
    <xf numFmtId="0" fontId="8" fillId="34" borderId="0" xfId="0" applyFont="1" applyFill="1" applyBorder="1" applyAlignment="1">
      <alignment horizontal="left" vertical="center"/>
    </xf>
    <xf numFmtId="0" fontId="16" fillId="34" borderId="0" xfId="0" applyFont="1" applyFill="1" applyAlignment="1">
      <alignment/>
    </xf>
    <xf numFmtId="0" fontId="0" fillId="34" borderId="0" xfId="0" applyFont="1" applyFill="1" applyAlignment="1">
      <alignment/>
    </xf>
    <xf numFmtId="0" fontId="8" fillId="34" borderId="0" xfId="0" applyFont="1" applyFill="1" applyBorder="1" applyAlignment="1">
      <alignment vertical="center"/>
    </xf>
    <xf numFmtId="3" fontId="7" fillId="33" borderId="26" xfId="0" applyNumberFormat="1" applyFont="1" applyFill="1" applyBorder="1" applyAlignment="1">
      <alignment horizontal="center" vertical="center"/>
    </xf>
    <xf numFmtId="0" fontId="7" fillId="33" borderId="26" xfId="0" applyFont="1" applyFill="1" applyBorder="1" applyAlignment="1">
      <alignment vertical="center" wrapText="1"/>
    </xf>
    <xf numFmtId="3" fontId="7" fillId="33" borderId="12" xfId="0" applyNumberFormat="1" applyFont="1" applyFill="1" applyBorder="1" applyAlignment="1">
      <alignment vertical="center" wrapText="1"/>
    </xf>
    <xf numFmtId="49" fontId="7" fillId="33" borderId="16" xfId="0" applyNumberFormat="1" applyFont="1" applyFill="1" applyBorder="1" applyAlignment="1">
      <alignment horizontal="right" vertical="center"/>
    </xf>
    <xf numFmtId="49" fontId="7" fillId="33" borderId="13" xfId="0" applyNumberFormat="1" applyFont="1" applyFill="1" applyBorder="1" applyAlignment="1">
      <alignment horizontal="right" vertical="center"/>
    </xf>
    <xf numFmtId="0" fontId="7" fillId="34" borderId="69" xfId="0" applyFont="1" applyFill="1" applyBorder="1" applyAlignment="1">
      <alignment horizontal="center" vertical="center"/>
    </xf>
    <xf numFmtId="0" fontId="7" fillId="34" borderId="0" xfId="0" applyFont="1" applyFill="1" applyBorder="1" applyAlignment="1">
      <alignment vertical="center"/>
    </xf>
    <xf numFmtId="177" fontId="7" fillId="34" borderId="12" xfId="0" applyNumberFormat="1" applyFont="1" applyFill="1" applyBorder="1" applyAlignment="1">
      <alignment horizontal="right" vertical="center"/>
    </xf>
    <xf numFmtId="177" fontId="7" fillId="34" borderId="19" xfId="0" applyNumberFormat="1" applyFont="1" applyFill="1" applyBorder="1" applyAlignment="1">
      <alignment vertical="center"/>
    </xf>
    <xf numFmtId="177" fontId="7" fillId="34" borderId="22" xfId="0" applyNumberFormat="1" applyFont="1" applyFill="1" applyBorder="1" applyAlignment="1">
      <alignment vertical="center"/>
    </xf>
    <xf numFmtId="177" fontId="7" fillId="34" borderId="14" xfId="0" applyNumberFormat="1" applyFont="1" applyFill="1" applyBorder="1" applyAlignment="1">
      <alignment vertical="center"/>
    </xf>
    <xf numFmtId="38" fontId="15" fillId="34" borderId="0" xfId="51" applyFont="1" applyFill="1" applyAlignment="1">
      <alignment vertical="center"/>
    </xf>
    <xf numFmtId="0" fontId="0" fillId="34" borderId="0" xfId="62" applyFont="1" applyFill="1">
      <alignment/>
      <protection/>
    </xf>
    <xf numFmtId="0" fontId="0" fillId="34" borderId="0" xfId="0" applyFont="1" applyFill="1" applyAlignment="1">
      <alignment vertical="center"/>
    </xf>
    <xf numFmtId="38" fontId="6" fillId="34" borderId="0" xfId="51" applyFont="1" applyFill="1" applyAlignment="1">
      <alignment vertical="center"/>
    </xf>
    <xf numFmtId="38" fontId="8" fillId="34" borderId="0" xfId="51" applyFont="1" applyFill="1" applyAlignment="1">
      <alignment vertical="center"/>
    </xf>
    <xf numFmtId="38" fontId="9" fillId="34" borderId="0" xfId="51" applyFont="1" applyFill="1" applyAlignment="1">
      <alignment vertical="center"/>
    </xf>
    <xf numFmtId="38" fontId="8" fillId="34" borderId="0" xfId="51" applyFont="1" applyFill="1" applyBorder="1" applyAlignment="1">
      <alignment vertical="center"/>
    </xf>
    <xf numFmtId="0" fontId="55" fillId="34" borderId="26" xfId="63" applyFont="1" applyFill="1" applyBorder="1">
      <alignment vertical="center"/>
      <protection/>
    </xf>
    <xf numFmtId="0" fontId="56" fillId="34" borderId="0" xfId="0" applyFont="1" applyFill="1" applyBorder="1" applyAlignment="1">
      <alignment vertical="center"/>
    </xf>
    <xf numFmtId="0" fontId="0" fillId="34" borderId="0" xfId="0" applyFont="1" applyFill="1" applyBorder="1" applyAlignment="1">
      <alignment vertical="center"/>
    </xf>
    <xf numFmtId="3" fontId="0" fillId="34" borderId="0" xfId="0" applyNumberFormat="1" applyFont="1" applyFill="1" applyBorder="1" applyAlignment="1">
      <alignment vertical="center"/>
    </xf>
    <xf numFmtId="0" fontId="0" fillId="34" borderId="26" xfId="0" applyFont="1" applyFill="1" applyBorder="1" applyAlignment="1">
      <alignment horizontal="center" vertical="center"/>
    </xf>
    <xf numFmtId="0" fontId="0" fillId="34" borderId="26" xfId="0" applyFont="1" applyFill="1" applyBorder="1" applyAlignment="1">
      <alignment vertical="center"/>
    </xf>
    <xf numFmtId="0" fontId="9" fillId="34" borderId="0" xfId="0" applyFont="1" applyFill="1" applyAlignment="1">
      <alignment vertical="center"/>
    </xf>
    <xf numFmtId="0" fontId="0" fillId="34" borderId="69" xfId="0" applyFont="1" applyFill="1" applyBorder="1" applyAlignment="1">
      <alignment vertical="center"/>
    </xf>
    <xf numFmtId="0" fontId="0" fillId="34" borderId="47" xfId="0" applyFont="1" applyFill="1" applyBorder="1" applyAlignment="1">
      <alignment vertical="center"/>
    </xf>
    <xf numFmtId="0" fontId="0" fillId="34" borderId="70" xfId="0" applyFont="1" applyFill="1" applyBorder="1" applyAlignment="1">
      <alignment vertical="center"/>
    </xf>
    <xf numFmtId="0" fontId="0" fillId="34" borderId="17" xfId="0" applyFont="1" applyFill="1" applyBorder="1" applyAlignment="1">
      <alignment vertical="center"/>
    </xf>
    <xf numFmtId="0" fontId="0" fillId="34" borderId="23" xfId="0" applyFont="1" applyFill="1" applyBorder="1" applyAlignment="1">
      <alignment vertical="center"/>
    </xf>
    <xf numFmtId="0" fontId="0" fillId="34" borderId="71" xfId="0" applyFont="1" applyFill="1" applyBorder="1" applyAlignment="1">
      <alignment vertical="center"/>
    </xf>
    <xf numFmtId="0" fontId="0" fillId="34" borderId="70" xfId="0" applyFont="1" applyFill="1" applyBorder="1" applyAlignment="1">
      <alignment horizontal="center" vertical="center"/>
    </xf>
    <xf numFmtId="0" fontId="0" fillId="34" borderId="72" xfId="0" applyFont="1" applyFill="1" applyBorder="1" applyAlignment="1">
      <alignment vertical="center"/>
    </xf>
    <xf numFmtId="0" fontId="57" fillId="34" borderId="0" xfId="0" applyFont="1" applyFill="1" applyBorder="1" applyAlignment="1">
      <alignment vertical="center"/>
    </xf>
    <xf numFmtId="0" fontId="8" fillId="34" borderId="0" xfId="0" applyFont="1" applyFill="1" applyAlignment="1">
      <alignment vertical="center"/>
    </xf>
    <xf numFmtId="0" fontId="7" fillId="34" borderId="0" xfId="0" applyFont="1" applyFill="1" applyBorder="1" applyAlignment="1">
      <alignment vertical="center"/>
    </xf>
    <xf numFmtId="0" fontId="7" fillId="34" borderId="73" xfId="0" applyFont="1" applyFill="1" applyBorder="1" applyAlignment="1">
      <alignment vertical="center"/>
    </xf>
    <xf numFmtId="0" fontId="7" fillId="34" borderId="48" xfId="0" applyFont="1" applyFill="1" applyBorder="1" applyAlignment="1">
      <alignment vertical="center"/>
    </xf>
    <xf numFmtId="0" fontId="7" fillId="34" borderId="74" xfId="0" applyFont="1" applyFill="1" applyBorder="1" applyAlignment="1">
      <alignment vertical="center"/>
    </xf>
    <xf numFmtId="0" fontId="7" fillId="34" borderId="72" xfId="0" applyFont="1" applyFill="1" applyBorder="1" applyAlignment="1">
      <alignment horizontal="left" vertical="center"/>
    </xf>
    <xf numFmtId="0" fontId="7" fillId="34" borderId="33" xfId="0" applyFont="1" applyFill="1" applyBorder="1" applyAlignment="1">
      <alignment vertical="center"/>
    </xf>
    <xf numFmtId="0" fontId="9" fillId="34" borderId="0" xfId="0" applyFont="1" applyFill="1" applyBorder="1" applyAlignment="1">
      <alignment vertical="center"/>
    </xf>
    <xf numFmtId="0" fontId="9" fillId="34" borderId="33" xfId="0" applyFont="1" applyFill="1" applyBorder="1" applyAlignment="1">
      <alignment vertical="center"/>
    </xf>
    <xf numFmtId="0" fontId="7" fillId="34" borderId="71" xfId="0" applyFont="1" applyFill="1" applyBorder="1" applyAlignment="1">
      <alignment horizontal="left" vertical="center"/>
    </xf>
    <xf numFmtId="0" fontId="9" fillId="34" borderId="52" xfId="0" applyFont="1" applyFill="1" applyBorder="1" applyAlignment="1">
      <alignment vertical="center"/>
    </xf>
    <xf numFmtId="0" fontId="9" fillId="34" borderId="75" xfId="0" applyFont="1" applyFill="1" applyBorder="1" applyAlignment="1">
      <alignment vertical="center"/>
    </xf>
    <xf numFmtId="0" fontId="7" fillId="34" borderId="26" xfId="0" applyFont="1" applyFill="1" applyBorder="1" applyAlignment="1">
      <alignment vertical="center" shrinkToFit="1"/>
    </xf>
    <xf numFmtId="0" fontId="7" fillId="34" borderId="69" xfId="0" applyFont="1" applyFill="1" applyBorder="1" applyAlignment="1">
      <alignment vertical="center"/>
    </xf>
    <xf numFmtId="0" fontId="7" fillId="34" borderId="26" xfId="0" applyFont="1" applyFill="1" applyBorder="1" applyAlignment="1">
      <alignment vertical="center"/>
    </xf>
    <xf numFmtId="191" fontId="7" fillId="34" borderId="48" xfId="0" applyNumberFormat="1" applyFont="1" applyFill="1" applyBorder="1" applyAlignment="1">
      <alignment vertical="center"/>
    </xf>
    <xf numFmtId="191" fontId="6" fillId="34" borderId="47" xfId="0" applyNumberFormat="1" applyFont="1" applyFill="1" applyBorder="1" applyAlignment="1">
      <alignment vertical="center"/>
    </xf>
    <xf numFmtId="191" fontId="7" fillId="34" borderId="38" xfId="0" applyNumberFormat="1" applyFont="1" applyFill="1" applyBorder="1" applyAlignment="1">
      <alignment vertical="center"/>
    </xf>
    <xf numFmtId="191" fontId="6" fillId="34" borderId="12" xfId="0" applyNumberFormat="1" applyFont="1" applyFill="1" applyBorder="1" applyAlignment="1">
      <alignment vertical="center"/>
    </xf>
    <xf numFmtId="191" fontId="7" fillId="34" borderId="35" xfId="0" applyNumberFormat="1" applyFont="1" applyFill="1" applyBorder="1" applyAlignment="1">
      <alignment vertical="center"/>
    </xf>
    <xf numFmtId="191" fontId="6" fillId="34" borderId="16" xfId="0" applyNumberFormat="1" applyFont="1" applyFill="1" applyBorder="1" applyAlignment="1">
      <alignment vertical="center"/>
    </xf>
    <xf numFmtId="191" fontId="7" fillId="34" borderId="50" xfId="0" applyNumberFormat="1" applyFont="1" applyFill="1" applyBorder="1" applyAlignment="1">
      <alignment vertical="center"/>
    </xf>
    <xf numFmtId="191" fontId="6" fillId="34" borderId="13" xfId="0" applyNumberFormat="1" applyFont="1" applyFill="1" applyBorder="1" applyAlignment="1">
      <alignment vertical="center"/>
    </xf>
    <xf numFmtId="191" fontId="7" fillId="34" borderId="64" xfId="0" applyNumberFormat="1" applyFont="1" applyFill="1" applyBorder="1" applyAlignment="1">
      <alignment vertical="center"/>
    </xf>
    <xf numFmtId="177" fontId="6" fillId="34" borderId="26" xfId="0" applyNumberFormat="1" applyFont="1" applyFill="1" applyBorder="1" applyAlignment="1">
      <alignment vertical="center"/>
    </xf>
    <xf numFmtId="41" fontId="7" fillId="0" borderId="56" xfId="0" applyNumberFormat="1" applyFont="1" applyFill="1" applyBorder="1" applyAlignment="1">
      <alignment vertical="center"/>
    </xf>
    <xf numFmtId="0" fontId="7" fillId="33" borderId="25" xfId="0" applyFont="1" applyFill="1" applyBorder="1" applyAlignment="1">
      <alignment vertical="center"/>
    </xf>
    <xf numFmtId="0" fontId="7" fillId="33" borderId="55" xfId="0" applyFont="1" applyFill="1" applyBorder="1" applyAlignment="1">
      <alignment vertical="center"/>
    </xf>
    <xf numFmtId="0" fontId="7" fillId="33" borderId="76" xfId="0" applyFont="1" applyFill="1" applyBorder="1" applyAlignment="1">
      <alignment vertical="center"/>
    </xf>
    <xf numFmtId="0" fontId="7" fillId="0" borderId="16" xfId="0" applyFont="1" applyFill="1" applyBorder="1" applyAlignment="1">
      <alignment vertical="center" shrinkToFit="1"/>
    </xf>
    <xf numFmtId="0" fontId="7" fillId="34" borderId="26" xfId="63" applyFont="1" applyFill="1" applyBorder="1">
      <alignment vertical="center"/>
      <protection/>
    </xf>
    <xf numFmtId="0" fontId="7" fillId="34" borderId="26" xfId="63" applyFont="1" applyFill="1" applyBorder="1" applyAlignment="1">
      <alignment horizontal="center" vertical="center"/>
      <protection/>
    </xf>
    <xf numFmtId="38" fontId="7" fillId="34" borderId="26" xfId="49" applyFont="1" applyFill="1" applyBorder="1" applyAlignment="1">
      <alignment vertical="center"/>
    </xf>
    <xf numFmtId="0" fontId="7" fillId="34" borderId="26" xfId="0" applyFont="1" applyFill="1" applyBorder="1" applyAlignment="1">
      <alignment horizontal="center" vertical="center"/>
    </xf>
    <xf numFmtId="38" fontId="7" fillId="34" borderId="26" xfId="49" applyFont="1" applyFill="1" applyBorder="1" applyAlignment="1">
      <alignment horizontal="center" vertical="center"/>
    </xf>
    <xf numFmtId="38" fontId="7" fillId="34" borderId="23" xfId="49" applyFont="1" applyFill="1" applyBorder="1" applyAlignment="1">
      <alignment horizontal="center" vertical="center"/>
    </xf>
    <xf numFmtId="38" fontId="7" fillId="34" borderId="77" xfId="49" applyFont="1" applyFill="1" applyBorder="1" applyAlignment="1">
      <alignment horizontal="center" vertical="center"/>
    </xf>
    <xf numFmtId="38" fontId="7" fillId="34" borderId="47" xfId="49" applyFont="1" applyFill="1" applyBorder="1" applyAlignment="1">
      <alignment vertical="center"/>
    </xf>
    <xf numFmtId="38" fontId="7" fillId="34" borderId="78" xfId="49" applyFont="1" applyFill="1" applyBorder="1" applyAlignment="1">
      <alignment vertical="center"/>
    </xf>
    <xf numFmtId="38" fontId="7" fillId="34" borderId="48" xfId="49" applyFont="1" applyFill="1" applyBorder="1" applyAlignment="1">
      <alignment horizontal="right" vertical="center"/>
    </xf>
    <xf numFmtId="185" fontId="7" fillId="34" borderId="26" xfId="49" applyNumberFormat="1" applyFont="1" applyFill="1" applyBorder="1" applyAlignment="1">
      <alignment vertical="center"/>
    </xf>
    <xf numFmtId="185" fontId="12" fillId="34" borderId="0" xfId="0" applyNumberFormat="1" applyFont="1" applyFill="1" applyBorder="1" applyAlignment="1">
      <alignment horizontal="right" vertical="center"/>
    </xf>
    <xf numFmtId="185" fontId="0" fillId="34" borderId="0" xfId="0" applyNumberFormat="1" applyFont="1" applyFill="1" applyAlignment="1">
      <alignment vertical="center"/>
    </xf>
    <xf numFmtId="185" fontId="7" fillId="34" borderId="26" xfId="0" applyNumberFormat="1" applyFont="1" applyFill="1" applyBorder="1" applyAlignment="1">
      <alignment horizontal="center" vertical="center"/>
    </xf>
    <xf numFmtId="185" fontId="7" fillId="34" borderId="47" xfId="49" applyNumberFormat="1" applyFont="1" applyFill="1" applyBorder="1" applyAlignment="1">
      <alignment vertical="center"/>
    </xf>
    <xf numFmtId="185" fontId="7" fillId="34" borderId="78" xfId="49" applyNumberFormat="1" applyFont="1" applyFill="1" applyBorder="1" applyAlignment="1">
      <alignment vertical="center"/>
    </xf>
    <xf numFmtId="38" fontId="7" fillId="34" borderId="0" xfId="49" applyFont="1" applyFill="1" applyBorder="1" applyAlignment="1">
      <alignment vertical="center"/>
    </xf>
    <xf numFmtId="38" fontId="7" fillId="34" borderId="48" xfId="49" applyFont="1" applyFill="1" applyBorder="1" applyAlignment="1">
      <alignment vertical="center"/>
    </xf>
    <xf numFmtId="41" fontId="7" fillId="0" borderId="55" xfId="0" applyNumberFormat="1" applyFont="1" applyFill="1" applyBorder="1" applyAlignment="1">
      <alignment horizontal="right" vertical="center"/>
    </xf>
    <xf numFmtId="41" fontId="7" fillId="0" borderId="79" xfId="0" applyNumberFormat="1" applyFont="1" applyFill="1" applyBorder="1" applyAlignment="1">
      <alignment vertical="center"/>
    </xf>
    <xf numFmtId="41" fontId="7" fillId="0" borderId="80" xfId="0" applyNumberFormat="1" applyFont="1" applyFill="1" applyBorder="1" applyAlignment="1">
      <alignment vertical="center"/>
    </xf>
    <xf numFmtId="38" fontId="7" fillId="0" borderId="63" xfId="51" applyFont="1" applyFill="1" applyBorder="1" applyAlignment="1">
      <alignment vertical="center"/>
    </xf>
    <xf numFmtId="38" fontId="7" fillId="0" borderId="62" xfId="51" applyFont="1" applyFill="1" applyBorder="1" applyAlignment="1">
      <alignment vertical="center"/>
    </xf>
    <xf numFmtId="38" fontId="7" fillId="0" borderId="14" xfId="51" applyFont="1" applyFill="1" applyBorder="1" applyAlignment="1">
      <alignment vertical="center"/>
    </xf>
    <xf numFmtId="181" fontId="7" fillId="0" borderId="15" xfId="0" applyNumberFormat="1" applyFont="1" applyFill="1" applyBorder="1" applyAlignment="1">
      <alignment vertical="center"/>
    </xf>
    <xf numFmtId="181" fontId="7" fillId="0" borderId="19" xfId="0" applyNumberFormat="1" applyFont="1" applyFill="1" applyBorder="1" applyAlignment="1">
      <alignment vertical="center"/>
    </xf>
    <xf numFmtId="181" fontId="7" fillId="0" borderId="55" xfId="0" applyNumberFormat="1" applyFont="1" applyFill="1" applyBorder="1" applyAlignment="1">
      <alignment horizontal="right" vertical="center"/>
    </xf>
    <xf numFmtId="181" fontId="7" fillId="0" borderId="45"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25" xfId="0" applyNumberFormat="1" applyFont="1" applyFill="1" applyBorder="1" applyAlignment="1">
      <alignment vertical="center"/>
    </xf>
    <xf numFmtId="184" fontId="7" fillId="0" borderId="62" xfId="0" applyNumberFormat="1" applyFont="1" applyFill="1" applyBorder="1" applyAlignment="1">
      <alignment vertical="center"/>
    </xf>
    <xf numFmtId="187" fontId="7" fillId="0" borderId="55" xfId="0" applyNumberFormat="1" applyFont="1" applyFill="1" applyBorder="1" applyAlignment="1">
      <alignment vertical="center" shrinkToFit="1"/>
    </xf>
    <xf numFmtId="187" fontId="7" fillId="0" borderId="25" xfId="0" applyNumberFormat="1" applyFont="1" applyFill="1" applyBorder="1" applyAlignment="1">
      <alignment vertical="center" shrinkToFit="1"/>
    </xf>
    <xf numFmtId="187" fontId="7" fillId="0" borderId="62" xfId="0" applyNumberFormat="1" applyFont="1" applyFill="1" applyBorder="1" applyAlignment="1">
      <alignment vertical="center" shrinkToFit="1"/>
    </xf>
    <xf numFmtId="41" fontId="7" fillId="0" borderId="59" xfId="51" applyNumberFormat="1" applyFont="1" applyFill="1" applyBorder="1" applyAlignment="1">
      <alignment vertical="center" shrinkToFit="1"/>
    </xf>
    <xf numFmtId="197" fontId="7" fillId="0" borderId="55" xfId="51" applyNumberFormat="1" applyFont="1" applyFill="1" applyBorder="1" applyAlignment="1">
      <alignment vertical="center" shrinkToFit="1"/>
    </xf>
    <xf numFmtId="41" fontId="7" fillId="0" borderId="53" xfId="51" applyNumberFormat="1" applyFont="1" applyFill="1" applyBorder="1" applyAlignment="1">
      <alignment vertical="center" shrinkToFit="1"/>
    </xf>
    <xf numFmtId="197" fontId="7" fillId="0" borderId="54" xfId="51" applyNumberFormat="1" applyFont="1" applyFill="1" applyBorder="1" applyAlignment="1">
      <alignment vertical="center" shrinkToFit="1"/>
    </xf>
    <xf numFmtId="197" fontId="7" fillId="0" borderId="25" xfId="51" applyNumberFormat="1" applyFont="1" applyFill="1" applyBorder="1" applyAlignment="1">
      <alignment vertical="center" shrinkToFit="1"/>
    </xf>
    <xf numFmtId="197" fontId="7" fillId="0" borderId="57" xfId="51" applyNumberFormat="1" applyFont="1" applyFill="1" applyBorder="1" applyAlignment="1">
      <alignment vertical="center" shrinkToFit="1"/>
    </xf>
    <xf numFmtId="41" fontId="7" fillId="0" borderId="39" xfId="51" applyNumberFormat="1" applyFont="1" applyFill="1" applyBorder="1" applyAlignment="1">
      <alignment vertical="center" shrinkToFit="1"/>
    </xf>
    <xf numFmtId="183" fontId="7" fillId="0" borderId="10" xfId="51" applyNumberFormat="1" applyFont="1" applyFill="1" applyBorder="1" applyAlignment="1">
      <alignment vertical="center" shrinkToFit="1"/>
    </xf>
    <xf numFmtId="41" fontId="7" fillId="0" borderId="41" xfId="0" applyNumberFormat="1" applyFont="1" applyFill="1" applyBorder="1" applyAlignment="1">
      <alignment vertical="center" shrinkToFit="1"/>
    </xf>
    <xf numFmtId="41" fontId="7" fillId="0" borderId="45" xfId="0" applyNumberFormat="1" applyFont="1" applyFill="1" applyBorder="1" applyAlignment="1">
      <alignment vertical="center" shrinkToFit="1"/>
    </xf>
    <xf numFmtId="41" fontId="7" fillId="0" borderId="42" xfId="0" applyNumberFormat="1" applyFont="1" applyFill="1" applyBorder="1" applyAlignment="1">
      <alignment vertical="center" shrinkToFit="1"/>
    </xf>
    <xf numFmtId="41" fontId="7" fillId="0" borderId="19" xfId="0" applyNumberFormat="1" applyFont="1" applyFill="1" applyBorder="1" applyAlignment="1">
      <alignment vertical="center" shrinkToFit="1"/>
    </xf>
    <xf numFmtId="41" fontId="7" fillId="0" borderId="46" xfId="0" applyNumberFormat="1" applyFont="1" applyFill="1" applyBorder="1" applyAlignment="1">
      <alignment vertical="center" shrinkToFit="1"/>
    </xf>
    <xf numFmtId="41" fontId="7" fillId="0" borderId="58" xfId="0" applyNumberFormat="1" applyFont="1" applyFill="1" applyBorder="1" applyAlignment="1">
      <alignment vertical="center" shrinkToFit="1"/>
    </xf>
    <xf numFmtId="41" fontId="7" fillId="0" borderId="22" xfId="0" applyNumberFormat="1" applyFont="1" applyFill="1" applyBorder="1" applyAlignment="1">
      <alignment vertical="center" shrinkToFit="1"/>
    </xf>
    <xf numFmtId="186" fontId="7" fillId="0" borderId="41" xfId="0" applyNumberFormat="1" applyFont="1" applyFill="1" applyBorder="1" applyAlignment="1">
      <alignment vertical="center"/>
    </xf>
    <xf numFmtId="186" fontId="7" fillId="0" borderId="45" xfId="0" applyNumberFormat="1" applyFont="1" applyFill="1" applyBorder="1" applyAlignment="1">
      <alignment vertical="center"/>
    </xf>
    <xf numFmtId="186" fontId="7" fillId="0" borderId="42" xfId="0" applyNumberFormat="1" applyFont="1" applyFill="1" applyBorder="1" applyAlignment="1">
      <alignment vertical="center"/>
    </xf>
    <xf numFmtId="186" fontId="7" fillId="0" borderId="19" xfId="0" applyNumberFormat="1" applyFont="1" applyFill="1" applyBorder="1" applyAlignment="1">
      <alignment vertical="center"/>
    </xf>
    <xf numFmtId="186" fontId="7" fillId="0" borderId="46" xfId="0" applyNumberFormat="1" applyFont="1" applyFill="1" applyBorder="1" applyAlignment="1">
      <alignment vertical="center"/>
    </xf>
    <xf numFmtId="186" fontId="7" fillId="0" borderId="59" xfId="0" applyNumberFormat="1" applyFont="1" applyFill="1" applyBorder="1" applyAlignment="1">
      <alignment vertical="center"/>
    </xf>
    <xf numFmtId="186" fontId="7" fillId="0" borderId="81" xfId="0" applyNumberFormat="1" applyFont="1" applyFill="1" applyBorder="1" applyAlignment="1">
      <alignment vertical="center"/>
    </xf>
    <xf numFmtId="186" fontId="7" fillId="0" borderId="80" xfId="0" applyNumberFormat="1" applyFont="1" applyFill="1" applyBorder="1" applyAlignment="1">
      <alignment vertical="center"/>
    </xf>
    <xf numFmtId="186" fontId="7" fillId="0" borderId="53" xfId="0" applyNumberFormat="1" applyFont="1" applyFill="1" applyBorder="1" applyAlignment="1">
      <alignment vertical="center"/>
    </xf>
    <xf numFmtId="186" fontId="7" fillId="0" borderId="54" xfId="0" applyNumberFormat="1" applyFont="1" applyFill="1" applyBorder="1" applyAlignment="1">
      <alignment vertical="center"/>
    </xf>
    <xf numFmtId="186" fontId="7" fillId="0" borderId="15" xfId="0" applyNumberFormat="1" applyFont="1" applyFill="1" applyBorder="1" applyAlignment="1">
      <alignment vertical="center"/>
    </xf>
    <xf numFmtId="0" fontId="6" fillId="0" borderId="24"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38" fontId="9" fillId="0" borderId="47" xfId="51" applyFont="1" applyBorder="1" applyAlignment="1" quotePrefix="1">
      <alignment horizontal="right" vertical="center"/>
    </xf>
    <xf numFmtId="38" fontId="9" fillId="0" borderId="12" xfId="51" applyFont="1" applyBorder="1" applyAlignment="1">
      <alignment vertical="center"/>
    </xf>
    <xf numFmtId="38" fontId="9" fillId="0" borderId="12" xfId="51" applyFont="1" applyFill="1" applyBorder="1" applyAlignment="1" quotePrefix="1">
      <alignment horizontal="right" vertical="center"/>
    </xf>
    <xf numFmtId="38" fontId="9" fillId="0" borderId="23" xfId="51" applyFont="1" applyFill="1" applyBorder="1" applyAlignment="1" quotePrefix="1">
      <alignment horizontal="right" vertical="center"/>
    </xf>
    <xf numFmtId="38" fontId="9" fillId="0" borderId="23" xfId="51" applyFont="1" applyBorder="1" applyAlignment="1">
      <alignment vertical="center"/>
    </xf>
    <xf numFmtId="38" fontId="9" fillId="0" borderId="12" xfId="51" applyFont="1" applyFill="1" applyBorder="1" applyAlignment="1" quotePrefix="1">
      <alignment/>
    </xf>
    <xf numFmtId="38" fontId="9" fillId="0" borderId="23" xfId="51" applyFont="1" applyFill="1" applyBorder="1" applyAlignment="1" quotePrefix="1">
      <alignment/>
    </xf>
    <xf numFmtId="38" fontId="7" fillId="0" borderId="26" xfId="51" applyFont="1" applyBorder="1" applyAlignment="1">
      <alignment horizontal="center" vertical="center" shrinkToFit="1"/>
    </xf>
    <xf numFmtId="38" fontId="7" fillId="0" borderId="47" xfId="51" applyFont="1" applyBorder="1" applyAlignment="1">
      <alignment horizontal="center" vertical="center" shrinkToFit="1"/>
    </xf>
    <xf numFmtId="38" fontId="7" fillId="0" borderId="17" xfId="51" applyFont="1" applyBorder="1" applyAlignment="1">
      <alignment horizontal="center" vertical="center" shrinkToFit="1"/>
    </xf>
    <xf numFmtId="38" fontId="6" fillId="0" borderId="0" xfId="51" applyFont="1" applyFill="1" applyAlignment="1">
      <alignment horizontal="right" vertical="center"/>
    </xf>
    <xf numFmtId="0" fontId="0" fillId="34" borderId="48" xfId="0" applyFont="1" applyFill="1" applyBorder="1" applyAlignment="1">
      <alignment vertical="center"/>
    </xf>
    <xf numFmtId="41" fontId="6" fillId="0" borderId="12" xfId="51" applyNumberFormat="1" applyFont="1" applyFill="1" applyBorder="1" applyAlignment="1">
      <alignment horizontal="right" vertical="center"/>
    </xf>
    <xf numFmtId="41" fontId="6" fillId="0" borderId="24"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0" borderId="12" xfId="0" applyNumberFormat="1" applyFont="1" applyFill="1" applyBorder="1" applyAlignment="1">
      <alignment vertical="center"/>
    </xf>
    <xf numFmtId="41" fontId="6" fillId="0" borderId="16" xfId="51" applyNumberFormat="1" applyFont="1" applyFill="1" applyBorder="1" applyAlignment="1">
      <alignment vertical="center"/>
    </xf>
    <xf numFmtId="41" fontId="6" fillId="0" borderId="16" xfId="0" applyNumberFormat="1" applyFont="1" applyFill="1" applyBorder="1" applyAlignment="1">
      <alignment vertical="center"/>
    </xf>
    <xf numFmtId="41" fontId="6" fillId="0" borderId="26" xfId="51" applyNumberFormat="1" applyFont="1" applyFill="1" applyBorder="1" applyAlignment="1">
      <alignment vertical="center"/>
    </xf>
    <xf numFmtId="41" fontId="9" fillId="0" borderId="47" xfId="51" applyNumberFormat="1" applyFont="1" applyBorder="1" applyAlignment="1" quotePrefix="1">
      <alignment/>
    </xf>
    <xf numFmtId="41" fontId="9" fillId="0" borderId="12" xfId="51" applyNumberFormat="1" applyFont="1" applyBorder="1" applyAlignment="1" quotePrefix="1">
      <alignment/>
    </xf>
    <xf numFmtId="41" fontId="9" fillId="0" borderId="47" xfId="51" applyNumberFormat="1" applyFont="1" applyBorder="1" applyAlignment="1">
      <alignment/>
    </xf>
    <xf numFmtId="41" fontId="9" fillId="0" borderId="47" xfId="51" applyNumberFormat="1" applyFont="1" applyBorder="1" applyAlignment="1" quotePrefix="1">
      <alignment/>
    </xf>
    <xf numFmtId="41" fontId="9" fillId="0" borderId="12" xfId="51" applyNumberFormat="1" applyFont="1" applyBorder="1" applyAlignment="1" quotePrefix="1">
      <alignment/>
    </xf>
    <xf numFmtId="41" fontId="9" fillId="0" borderId="23" xfId="51" applyNumberFormat="1" applyFont="1" applyFill="1" applyBorder="1" applyAlignment="1" quotePrefix="1">
      <alignment/>
    </xf>
    <xf numFmtId="41" fontId="9" fillId="0" borderId="23" xfId="51" applyNumberFormat="1" applyFont="1" applyBorder="1" applyAlignment="1" quotePrefix="1">
      <alignment/>
    </xf>
    <xf numFmtId="41" fontId="9" fillId="0" borderId="26" xfId="51" applyNumberFormat="1" applyFont="1" applyFill="1" applyBorder="1" applyAlignment="1" quotePrefix="1">
      <alignment/>
    </xf>
    <xf numFmtId="41" fontId="9" fillId="0" borderId="26" xfId="51" applyNumberFormat="1" applyFont="1" applyBorder="1" applyAlignment="1" quotePrefix="1">
      <alignment/>
    </xf>
    <xf numFmtId="41" fontId="9" fillId="0" borderId="24" xfId="51" applyNumberFormat="1" applyFont="1" applyBorder="1" applyAlignment="1" quotePrefix="1">
      <alignment/>
    </xf>
    <xf numFmtId="41" fontId="9" fillId="0" borderId="13" xfId="51" applyNumberFormat="1" applyFont="1" applyBorder="1" applyAlignment="1" quotePrefix="1">
      <alignment/>
    </xf>
    <xf numFmtId="41" fontId="9" fillId="0" borderId="47" xfId="51" applyNumberFormat="1" applyFont="1" applyBorder="1" applyAlignment="1" quotePrefix="1">
      <alignment vertical="center"/>
    </xf>
    <xf numFmtId="41" fontId="9" fillId="0" borderId="12" xfId="51" applyNumberFormat="1" applyFont="1" applyBorder="1" applyAlignment="1" quotePrefix="1">
      <alignment vertical="center"/>
    </xf>
    <xf numFmtId="41" fontId="9" fillId="0" borderId="12" xfId="51" applyNumberFormat="1" applyFont="1" applyFill="1" applyBorder="1" applyAlignment="1" quotePrefix="1">
      <alignment vertical="center"/>
    </xf>
    <xf numFmtId="41" fontId="9" fillId="0" borderId="23" xfId="51" applyNumberFormat="1" applyFont="1" applyFill="1" applyBorder="1" applyAlignment="1" quotePrefix="1">
      <alignment vertical="center"/>
    </xf>
    <xf numFmtId="41" fontId="9" fillId="0" borderId="26" xfId="51" applyNumberFormat="1" applyFont="1" applyBorder="1" applyAlignment="1" quotePrefix="1">
      <alignment/>
    </xf>
    <xf numFmtId="41" fontId="9" fillId="0" borderId="26" xfId="51" applyNumberFormat="1" applyFont="1" applyBorder="1" applyAlignment="1" quotePrefix="1">
      <alignment vertical="center"/>
    </xf>
    <xf numFmtId="41" fontId="9" fillId="0" borderId="23" xfId="51" applyNumberFormat="1" applyFont="1" applyFill="1" applyBorder="1" applyAlignment="1" quotePrefix="1">
      <alignment/>
    </xf>
    <xf numFmtId="41" fontId="9" fillId="0" borderId="23" xfId="51" applyNumberFormat="1" applyFont="1" applyBorder="1" applyAlignment="1" quotePrefix="1">
      <alignment vertical="center"/>
    </xf>
    <xf numFmtId="41" fontId="9" fillId="0" borderId="24" xfId="51" applyNumberFormat="1" applyFont="1" applyBorder="1" applyAlignment="1" quotePrefix="1">
      <alignment/>
    </xf>
    <xf numFmtId="41" fontId="9" fillId="0" borderId="13" xfId="51" applyNumberFormat="1" applyFont="1" applyBorder="1" applyAlignment="1" quotePrefix="1">
      <alignment/>
    </xf>
    <xf numFmtId="41" fontId="9" fillId="0" borderId="12" xfId="51" applyNumberFormat="1" applyFont="1" applyFill="1" applyBorder="1" applyAlignment="1" quotePrefix="1">
      <alignment/>
    </xf>
    <xf numFmtId="41" fontId="9" fillId="0" borderId="12" xfId="51" applyNumberFormat="1" applyFont="1" applyFill="1" applyBorder="1" applyAlignment="1" quotePrefix="1">
      <alignment/>
    </xf>
    <xf numFmtId="41" fontId="9" fillId="0" borderId="47" xfId="51" applyNumberFormat="1" applyFont="1" applyBorder="1" applyAlignment="1" quotePrefix="1">
      <alignment horizontal="right" vertical="center"/>
    </xf>
    <xf numFmtId="41" fontId="9" fillId="0" borderId="47" xfId="51" applyNumberFormat="1" applyFont="1" applyBorder="1" applyAlignment="1">
      <alignment vertical="center"/>
    </xf>
    <xf numFmtId="41" fontId="9" fillId="0" borderId="24" xfId="51" applyNumberFormat="1" applyFont="1" applyBorder="1" applyAlignment="1" quotePrefix="1">
      <alignment horizontal="right" vertical="center"/>
    </xf>
    <xf numFmtId="0" fontId="5" fillId="33" borderId="0" xfId="0" applyFont="1" applyFill="1" applyAlignment="1">
      <alignment vertical="center"/>
    </xf>
    <xf numFmtId="0" fontId="7" fillId="33" borderId="0" xfId="0" applyFont="1" applyFill="1" applyAlignment="1">
      <alignment horizontal="left" vertical="center" wrapText="1"/>
    </xf>
    <xf numFmtId="0" fontId="8" fillId="34" borderId="0" xfId="0" applyFont="1" applyFill="1" applyAlignment="1">
      <alignment vertical="center"/>
    </xf>
    <xf numFmtId="0" fontId="7" fillId="34" borderId="69"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83" xfId="0" applyFont="1" applyFill="1" applyBorder="1" applyAlignment="1">
      <alignment horizontal="distributed" vertical="center" wrapText="1"/>
    </xf>
    <xf numFmtId="0" fontId="7" fillId="33" borderId="84" xfId="0" applyFont="1" applyFill="1" applyBorder="1" applyAlignment="1">
      <alignment horizontal="distributed" vertical="center" wrapText="1"/>
    </xf>
    <xf numFmtId="0" fontId="7" fillId="34" borderId="73" xfId="0" applyFont="1" applyFill="1" applyBorder="1" applyAlignment="1">
      <alignment horizontal="left" vertical="center" shrinkToFit="1"/>
    </xf>
    <xf numFmtId="0" fontId="7" fillId="34" borderId="48" xfId="0" applyFont="1" applyFill="1" applyBorder="1" applyAlignment="1">
      <alignment horizontal="left" vertical="center" shrinkToFit="1"/>
    </xf>
    <xf numFmtId="0" fontId="7" fillId="34" borderId="74" xfId="0" applyFont="1" applyFill="1" applyBorder="1" applyAlignment="1">
      <alignment horizontal="left" vertical="center" shrinkToFit="1"/>
    </xf>
    <xf numFmtId="0" fontId="7" fillId="34" borderId="72"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34" borderId="33" xfId="0" applyFont="1" applyFill="1" applyBorder="1" applyAlignment="1">
      <alignment horizontal="left" vertical="center" shrinkToFit="1"/>
    </xf>
    <xf numFmtId="0" fontId="7" fillId="34" borderId="68" xfId="0" applyFont="1" applyFill="1" applyBorder="1" applyAlignment="1">
      <alignment horizontal="left" vertical="center" shrinkToFit="1"/>
    </xf>
    <xf numFmtId="0" fontId="7" fillId="34" borderId="85" xfId="0" applyFont="1" applyFill="1" applyBorder="1" applyAlignment="1">
      <alignment horizontal="left" vertical="center" shrinkToFit="1"/>
    </xf>
    <xf numFmtId="0" fontId="7" fillId="34" borderId="86" xfId="0" applyFont="1" applyFill="1" applyBorder="1" applyAlignment="1">
      <alignment horizontal="left" vertical="center" shrinkToFit="1"/>
    </xf>
    <xf numFmtId="0" fontId="7" fillId="0" borderId="8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34" borderId="31" xfId="0" applyFont="1" applyFill="1" applyBorder="1" applyAlignment="1">
      <alignment vertical="center" shrinkToFit="1"/>
    </xf>
    <xf numFmtId="0" fontId="7" fillId="34" borderId="35" xfId="0" applyFont="1" applyFill="1" applyBorder="1" applyAlignment="1">
      <alignment vertical="center" shrinkToFit="1"/>
    </xf>
    <xf numFmtId="0" fontId="0" fillId="0" borderId="32" xfId="0" applyFont="1" applyBorder="1" applyAlignment="1">
      <alignment vertical="center" shrinkToFit="1"/>
    </xf>
    <xf numFmtId="0" fontId="7" fillId="34" borderId="72" xfId="0" applyFont="1" applyFill="1" applyBorder="1" applyAlignment="1">
      <alignment vertical="center" shrinkToFit="1"/>
    </xf>
    <xf numFmtId="0" fontId="7" fillId="34" borderId="0" xfId="0" applyFont="1" applyFill="1" applyBorder="1" applyAlignment="1">
      <alignment vertical="center" shrinkToFit="1"/>
    </xf>
    <xf numFmtId="0" fontId="0" fillId="0" borderId="33" xfId="0" applyFont="1" applyBorder="1" applyAlignment="1">
      <alignment vertical="center" shrinkToFit="1"/>
    </xf>
    <xf numFmtId="0" fontId="7" fillId="34" borderId="88" xfId="0" applyFont="1" applyFill="1" applyBorder="1" applyAlignment="1">
      <alignment horizontal="left" vertical="center" shrinkToFit="1"/>
    </xf>
    <xf numFmtId="0" fontId="7" fillId="34" borderId="89" xfId="0" applyFont="1" applyFill="1" applyBorder="1" applyAlignment="1">
      <alignment horizontal="left" vertical="center" shrinkToFit="1"/>
    </xf>
    <xf numFmtId="0" fontId="7" fillId="34" borderId="90" xfId="0" applyFont="1" applyFill="1" applyBorder="1" applyAlignment="1">
      <alignment horizontal="left" vertical="center" shrinkToFit="1"/>
    </xf>
    <xf numFmtId="0" fontId="7" fillId="0" borderId="91" xfId="0" applyFont="1" applyFill="1" applyBorder="1" applyAlignment="1">
      <alignment horizontal="distributed" vertical="center"/>
    </xf>
    <xf numFmtId="0" fontId="7" fillId="0" borderId="92" xfId="0" applyFont="1" applyFill="1" applyBorder="1" applyAlignment="1">
      <alignment horizontal="distributed" vertical="center"/>
    </xf>
    <xf numFmtId="0" fontId="7" fillId="34" borderId="93" xfId="0" applyFont="1" applyFill="1" applyBorder="1" applyAlignment="1">
      <alignment horizontal="left" vertical="center" wrapText="1" shrinkToFit="1"/>
    </xf>
    <xf numFmtId="0" fontId="7" fillId="34" borderId="94" xfId="0" applyFont="1" applyFill="1" applyBorder="1" applyAlignment="1">
      <alignment horizontal="left" vertical="center" shrinkToFit="1"/>
    </xf>
    <xf numFmtId="0" fontId="7" fillId="34" borderId="95" xfId="0" applyFont="1" applyFill="1" applyBorder="1" applyAlignment="1">
      <alignment horizontal="left" vertical="center" shrinkToFit="1"/>
    </xf>
    <xf numFmtId="0" fontId="7" fillId="34" borderId="71" xfId="0" applyFont="1" applyFill="1" applyBorder="1" applyAlignment="1">
      <alignment horizontal="left" vertical="center" shrinkToFit="1"/>
    </xf>
    <xf numFmtId="0" fontId="7" fillId="34" borderId="52" xfId="0" applyFont="1" applyFill="1" applyBorder="1" applyAlignment="1">
      <alignment horizontal="left" vertical="center" shrinkToFit="1"/>
    </xf>
    <xf numFmtId="0" fontId="7" fillId="34" borderId="75" xfId="0" applyFont="1" applyFill="1" applyBorder="1" applyAlignment="1">
      <alignment horizontal="left" vertical="center" shrinkToFit="1"/>
    </xf>
    <xf numFmtId="0" fontId="7" fillId="33" borderId="47" xfId="0" applyFont="1" applyFill="1" applyBorder="1" applyAlignment="1">
      <alignment horizontal="distributed" vertical="center" wrapText="1"/>
    </xf>
    <xf numFmtId="0" fontId="7" fillId="33" borderId="17" xfId="0" applyFont="1" applyFill="1" applyBorder="1" applyAlignment="1">
      <alignment horizontal="distributed" vertical="center" wrapText="1"/>
    </xf>
    <xf numFmtId="0" fontId="0" fillId="0" borderId="17" xfId="0" applyFont="1" applyBorder="1" applyAlignment="1">
      <alignment horizontal="distributed" vertical="center" wrapText="1"/>
    </xf>
    <xf numFmtId="0" fontId="7" fillId="33" borderId="47"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4" borderId="72" xfId="0" applyFont="1" applyFill="1" applyBorder="1" applyAlignment="1">
      <alignment horizontal="left" vertical="center"/>
    </xf>
    <xf numFmtId="0" fontId="7" fillId="33" borderId="0" xfId="0" applyFont="1" applyFill="1" applyBorder="1" applyAlignment="1">
      <alignment horizontal="left" vertical="center"/>
    </xf>
    <xf numFmtId="0" fontId="7" fillId="33" borderId="33" xfId="0" applyFont="1" applyFill="1" applyBorder="1" applyAlignment="1">
      <alignment horizontal="left" vertical="center"/>
    </xf>
    <xf numFmtId="0" fontId="7" fillId="33" borderId="96" xfId="0" applyFont="1" applyFill="1" applyBorder="1" applyAlignment="1">
      <alignment horizontal="distributed" vertical="center" wrapText="1"/>
    </xf>
    <xf numFmtId="0" fontId="7" fillId="33" borderId="91" xfId="0" applyFont="1" applyFill="1" applyBorder="1" applyAlignment="1">
      <alignment horizontal="distributed" vertical="center" wrapText="1"/>
    </xf>
    <xf numFmtId="0" fontId="7" fillId="33" borderId="92" xfId="0" applyFont="1" applyFill="1" applyBorder="1" applyAlignment="1">
      <alignment horizontal="distributed" vertical="center" wrapText="1"/>
    </xf>
    <xf numFmtId="0" fontId="7" fillId="34" borderId="71" xfId="0" applyFont="1" applyFill="1" applyBorder="1" applyAlignment="1">
      <alignment horizontal="left" vertical="center" wrapText="1"/>
    </xf>
    <xf numFmtId="0" fontId="7" fillId="34" borderId="52" xfId="0" applyFont="1" applyFill="1" applyBorder="1" applyAlignment="1">
      <alignment horizontal="left" vertical="center" wrapText="1"/>
    </xf>
    <xf numFmtId="0" fontId="7" fillId="34" borderId="75" xfId="0" applyFont="1" applyFill="1" applyBorder="1" applyAlignment="1">
      <alignment horizontal="left" vertical="center" wrapText="1"/>
    </xf>
    <xf numFmtId="0" fontId="7" fillId="34" borderId="47"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23" xfId="0" applyFont="1" applyFill="1" applyBorder="1" applyAlignment="1">
      <alignment horizontal="center" vertical="center"/>
    </xf>
    <xf numFmtId="177" fontId="7" fillId="33" borderId="0" xfId="0" applyNumberFormat="1" applyFont="1" applyFill="1" applyBorder="1" applyAlignment="1">
      <alignment horizontal="right" vertical="center"/>
    </xf>
    <xf numFmtId="0" fontId="7" fillId="34" borderId="69" xfId="0" applyFont="1" applyFill="1" applyBorder="1" applyAlignment="1">
      <alignment horizontal="center" vertical="center" shrinkToFit="1"/>
    </xf>
    <xf numFmtId="0" fontId="7" fillId="34" borderId="64" xfId="0" applyFont="1" applyFill="1" applyBorder="1" applyAlignment="1">
      <alignment horizontal="center" vertical="center" shrinkToFit="1"/>
    </xf>
    <xf numFmtId="0" fontId="7" fillId="34" borderId="82" xfId="0" applyFont="1" applyFill="1" applyBorder="1" applyAlignment="1">
      <alignment horizontal="center" vertical="center" shrinkToFit="1"/>
    </xf>
    <xf numFmtId="0" fontId="7" fillId="34" borderId="73"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0" xfId="0" applyFont="1" applyFill="1" applyAlignment="1">
      <alignment horizontal="left" vertical="center" wrapText="1"/>
    </xf>
    <xf numFmtId="0" fontId="0" fillId="34" borderId="3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75" xfId="0" applyFont="1" applyFill="1" applyBorder="1" applyAlignment="1">
      <alignment horizontal="left" vertical="center" wrapText="1"/>
    </xf>
    <xf numFmtId="177" fontId="7" fillId="34" borderId="47" xfId="0" applyNumberFormat="1" applyFont="1" applyFill="1" applyBorder="1" applyAlignment="1">
      <alignment horizontal="center" vertical="center"/>
    </xf>
    <xf numFmtId="177" fontId="7" fillId="34" borderId="17" xfId="0" applyNumberFormat="1" applyFont="1" applyFill="1" applyBorder="1" applyAlignment="1">
      <alignment horizontal="center" vertical="center"/>
    </xf>
    <xf numFmtId="177" fontId="7" fillId="34" borderId="23" xfId="0" applyNumberFormat="1" applyFont="1" applyFill="1" applyBorder="1" applyAlignment="1">
      <alignment horizontal="center" vertical="center"/>
    </xf>
    <xf numFmtId="0" fontId="8" fillId="34" borderId="0" xfId="0" applyFont="1" applyFill="1" applyAlignment="1">
      <alignment horizontal="left" vertical="center"/>
    </xf>
    <xf numFmtId="0" fontId="7" fillId="33" borderId="73"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82" xfId="0" applyFont="1" applyFill="1" applyBorder="1" applyAlignment="1">
      <alignment horizontal="center" vertical="center" wrapText="1"/>
    </xf>
    <xf numFmtId="0" fontId="7" fillId="33" borderId="69"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0" xfId="0" applyFont="1" applyFill="1" applyAlignment="1">
      <alignment horizontal="left" vertical="top" wrapText="1"/>
    </xf>
    <xf numFmtId="0" fontId="6" fillId="33" borderId="0" xfId="0" applyFont="1" applyFill="1" applyBorder="1" applyAlignment="1">
      <alignment horizontal="right" vertical="center"/>
    </xf>
    <xf numFmtId="0" fontId="0" fillId="0" borderId="0" xfId="0" applyFont="1" applyBorder="1" applyAlignment="1">
      <alignment vertical="center"/>
    </xf>
    <xf numFmtId="0" fontId="0" fillId="0" borderId="82" xfId="0" applyFont="1" applyBorder="1" applyAlignment="1">
      <alignment horizontal="center" vertical="center" wrapText="1"/>
    </xf>
    <xf numFmtId="0" fontId="7" fillId="33" borderId="26" xfId="0" applyFont="1" applyFill="1" applyBorder="1" applyAlignment="1">
      <alignment horizontal="center" vertical="center" wrapText="1"/>
    </xf>
    <xf numFmtId="0" fontId="7" fillId="33" borderId="64" xfId="0" applyFont="1" applyFill="1" applyBorder="1" applyAlignment="1">
      <alignment horizontal="center" vertical="center"/>
    </xf>
    <xf numFmtId="0" fontId="0" fillId="0" borderId="82" xfId="0" applyFont="1" applyBorder="1" applyAlignment="1">
      <alignment horizontal="center" vertical="center"/>
    </xf>
    <xf numFmtId="0" fontId="7" fillId="33" borderId="69" xfId="0" applyFont="1" applyFill="1" applyBorder="1" applyAlignment="1">
      <alignment horizontal="left" vertical="center" wrapText="1"/>
    </xf>
    <xf numFmtId="0" fontId="7" fillId="33" borderId="64" xfId="0" applyFont="1" applyFill="1" applyBorder="1" applyAlignment="1">
      <alignment horizontal="left" vertical="center" wrapText="1"/>
    </xf>
    <xf numFmtId="38" fontId="7" fillId="33" borderId="69" xfId="49" applyFont="1" applyFill="1" applyBorder="1" applyAlignment="1">
      <alignment horizontal="center" vertical="center" wrapText="1"/>
    </xf>
    <xf numFmtId="38" fontId="7" fillId="33" borderId="82" xfId="49" applyFont="1" applyFill="1" applyBorder="1" applyAlignment="1">
      <alignment horizontal="center" vertical="center" wrapText="1"/>
    </xf>
    <xf numFmtId="3" fontId="7" fillId="33" borderId="69" xfId="0" applyNumberFormat="1" applyFont="1" applyFill="1" applyBorder="1" applyAlignment="1">
      <alignment horizontal="center" vertical="center" wrapText="1"/>
    </xf>
    <xf numFmtId="0" fontId="7" fillId="33" borderId="69" xfId="0" applyFont="1" applyFill="1" applyBorder="1" applyAlignment="1">
      <alignment horizontal="left" vertical="center"/>
    </xf>
    <xf numFmtId="0" fontId="7" fillId="33" borderId="64" xfId="0" applyFont="1" applyFill="1" applyBorder="1" applyAlignment="1">
      <alignment horizontal="left" vertical="center"/>
    </xf>
    <xf numFmtId="0" fontId="0" fillId="0" borderId="82" xfId="0" applyFont="1" applyBorder="1" applyAlignment="1">
      <alignment horizontal="left" vertical="center"/>
    </xf>
    <xf numFmtId="0" fontId="7" fillId="33" borderId="26" xfId="0" applyFont="1" applyFill="1" applyBorder="1" applyAlignment="1">
      <alignment horizontal="left" vertical="center" wrapText="1"/>
    </xf>
    <xf numFmtId="0" fontId="7" fillId="33" borderId="47" xfId="0" applyFont="1" applyFill="1" applyBorder="1" applyAlignment="1">
      <alignment horizontal="center" vertical="center" textRotation="255" wrapText="1"/>
    </xf>
    <xf numFmtId="0" fontId="0" fillId="0" borderId="17" xfId="0" applyFont="1" applyBorder="1" applyAlignment="1">
      <alignment horizontal="center" vertical="center" textRotation="255"/>
    </xf>
    <xf numFmtId="0" fontId="0" fillId="0" borderId="23" xfId="0" applyFont="1" applyBorder="1" applyAlignment="1">
      <alignment horizontal="center" vertical="center" textRotation="255"/>
    </xf>
    <xf numFmtId="0" fontId="7" fillId="34" borderId="12" xfId="0" applyFont="1" applyFill="1" applyBorder="1" applyAlignment="1">
      <alignment vertical="center" wrapText="1"/>
    </xf>
    <xf numFmtId="0" fontId="7" fillId="34" borderId="35"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7" fillId="34" borderId="16" xfId="0" applyFont="1" applyFill="1" applyBorder="1" applyAlignment="1">
      <alignment vertical="center" wrapText="1"/>
    </xf>
    <xf numFmtId="0" fontId="7" fillId="33" borderId="69" xfId="0" applyFont="1" applyFill="1" applyBorder="1" applyAlignment="1">
      <alignment horizontal="distributed" vertical="center" wrapText="1"/>
    </xf>
    <xf numFmtId="0" fontId="0" fillId="0" borderId="21" xfId="0" applyFont="1" applyBorder="1" applyAlignment="1">
      <alignment horizontal="distributed" vertical="center" wrapText="1"/>
    </xf>
    <xf numFmtId="0" fontId="7" fillId="33" borderId="65"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65" xfId="0"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64" xfId="0" applyFont="1" applyFill="1" applyBorder="1" applyAlignment="1">
      <alignment horizontal="center" vertical="center" wrapText="1" shrinkToFit="1"/>
    </xf>
    <xf numFmtId="0" fontId="7" fillId="33" borderId="82" xfId="0" applyFont="1" applyFill="1" applyBorder="1" applyAlignment="1">
      <alignment horizontal="center" vertical="center" wrapText="1" shrinkToFit="1"/>
    </xf>
    <xf numFmtId="0" fontId="7" fillId="33" borderId="97"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59" xfId="0" applyFont="1" applyFill="1" applyBorder="1" applyAlignment="1">
      <alignment horizontal="left" vertical="center" wrapText="1"/>
    </xf>
    <xf numFmtId="0" fontId="7" fillId="33" borderId="97"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98" xfId="0" applyFont="1" applyFill="1" applyBorder="1" applyAlignment="1">
      <alignment horizontal="center" vertical="center" wrapText="1"/>
    </xf>
    <xf numFmtId="0" fontId="7" fillId="33" borderId="37"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37"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0" xfId="0" applyFont="1" applyFill="1" applyBorder="1" applyAlignment="1">
      <alignment horizontal="center" vertical="center" shrinkToFit="1"/>
    </xf>
    <xf numFmtId="0" fontId="7" fillId="33" borderId="0"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4" borderId="0" xfId="0" applyFont="1" applyFill="1" applyBorder="1" applyAlignment="1">
      <alignment horizontal="center" vertical="center"/>
    </xf>
    <xf numFmtId="0" fontId="7" fillId="33" borderId="37" xfId="0" applyFont="1" applyFill="1" applyBorder="1" applyAlignment="1">
      <alignment horizontal="left" vertical="center" shrinkToFit="1"/>
    </xf>
    <xf numFmtId="0" fontId="7" fillId="33" borderId="38" xfId="0" applyFont="1" applyFill="1" applyBorder="1" applyAlignment="1">
      <alignment horizontal="left" vertical="center" shrinkToFit="1"/>
    </xf>
    <xf numFmtId="0" fontId="7" fillId="33" borderId="39" xfId="0" applyFont="1" applyFill="1" applyBorder="1" applyAlignment="1">
      <alignment horizontal="left" vertical="center" shrinkToFit="1"/>
    </xf>
    <xf numFmtId="0" fontId="7" fillId="33" borderId="35"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7"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8" xfId="0" applyFont="1" applyFill="1" applyBorder="1" applyAlignment="1">
      <alignment horizontal="center" vertical="center"/>
    </xf>
    <xf numFmtId="0" fontId="0" fillId="0" borderId="29" xfId="0" applyFont="1" applyBorder="1" applyAlignment="1">
      <alignment horizontal="center" vertical="center"/>
    </xf>
    <xf numFmtId="0" fontId="7" fillId="33" borderId="55" xfId="0" applyFont="1" applyFill="1" applyBorder="1" applyAlignment="1">
      <alignment horizontal="center" vertical="center" wrapText="1"/>
    </xf>
    <xf numFmtId="0" fontId="7" fillId="33" borderId="55"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4"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99" xfId="0" applyFont="1" applyFill="1" applyBorder="1" applyAlignment="1">
      <alignment horizontal="center" vertical="center" wrapText="1"/>
    </xf>
    <xf numFmtId="0" fontId="7" fillId="33" borderId="85" xfId="0" applyFont="1" applyFill="1" applyBorder="1" applyAlignment="1">
      <alignment horizontal="center" vertical="center" wrapText="1"/>
    </xf>
    <xf numFmtId="0" fontId="7" fillId="33" borderId="29"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61" xfId="0" applyFont="1" applyFill="1" applyBorder="1" applyAlignment="1">
      <alignment horizontal="center" vertical="center"/>
    </xf>
    <xf numFmtId="0" fontId="7" fillId="34" borderId="48" xfId="0" applyFont="1" applyFill="1" applyBorder="1" applyAlignment="1">
      <alignment horizontal="left" vertical="top" wrapText="1"/>
    </xf>
    <xf numFmtId="0" fontId="7" fillId="0" borderId="100" xfId="0" applyFont="1" applyFill="1" applyBorder="1" applyAlignment="1">
      <alignment horizontal="left" vertical="center"/>
    </xf>
    <xf numFmtId="0" fontId="7" fillId="0" borderId="50" xfId="0" applyFont="1" applyFill="1" applyBorder="1" applyAlignment="1">
      <alignment horizontal="left" vertical="center"/>
    </xf>
    <xf numFmtId="0" fontId="7" fillId="0" borderId="44" xfId="0" applyFont="1" applyFill="1" applyBorder="1" applyAlignment="1">
      <alignment horizontal="left" vertical="center"/>
    </xf>
    <xf numFmtId="0" fontId="7" fillId="0" borderId="101"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37" xfId="0" applyFont="1" applyFill="1" applyBorder="1" applyAlignment="1">
      <alignment horizontal="center" vertical="center"/>
    </xf>
    <xf numFmtId="0" fontId="7" fillId="0" borderId="29" xfId="0" applyFont="1" applyFill="1" applyBorder="1" applyAlignment="1">
      <alignment horizontal="center" vertical="center"/>
    </xf>
    <xf numFmtId="0" fontId="7" fillId="34" borderId="27" xfId="0" applyFont="1" applyFill="1" applyBorder="1" applyAlignment="1">
      <alignment horizontal="left" vertical="center"/>
    </xf>
    <xf numFmtId="0" fontId="7" fillId="34" borderId="38" xfId="0" applyFont="1" applyFill="1" applyBorder="1" applyAlignment="1">
      <alignment horizontal="left" vertical="center"/>
    </xf>
    <xf numFmtId="0" fontId="7" fillId="34" borderId="29" xfId="0" applyFont="1" applyFill="1" applyBorder="1" applyAlignment="1">
      <alignment horizontal="left" vertical="center"/>
    </xf>
    <xf numFmtId="0" fontId="7" fillId="34" borderId="0" xfId="0" applyFont="1" applyFill="1" applyBorder="1" applyAlignment="1">
      <alignment vertical="center"/>
    </xf>
    <xf numFmtId="0" fontId="7" fillId="34" borderId="69" xfId="0" applyFont="1" applyFill="1" applyBorder="1" applyAlignment="1">
      <alignment horizontal="center" vertical="center"/>
    </xf>
    <xf numFmtId="0" fontId="7" fillId="34" borderId="64" xfId="0" applyFont="1" applyFill="1" applyBorder="1" applyAlignment="1">
      <alignment vertical="center"/>
    </xf>
    <xf numFmtId="0" fontId="7" fillId="34" borderId="82" xfId="0" applyFont="1" applyFill="1" applyBorder="1" applyAlignment="1">
      <alignment vertical="center"/>
    </xf>
    <xf numFmtId="0" fontId="7" fillId="34" borderId="67" xfId="0" applyFont="1" applyFill="1" applyBorder="1" applyAlignment="1">
      <alignment horizontal="left" vertical="center"/>
    </xf>
    <xf numFmtId="0" fontId="7" fillId="34" borderId="49" xfId="0" applyFont="1" applyFill="1" applyBorder="1" applyAlignment="1">
      <alignment horizontal="left" vertical="center"/>
    </xf>
    <xf numFmtId="0" fontId="7" fillId="34" borderId="98" xfId="0" applyFont="1" applyFill="1" applyBorder="1" applyAlignment="1">
      <alignment horizontal="left" vertical="center"/>
    </xf>
    <xf numFmtId="0" fontId="7" fillId="34" borderId="27" xfId="0" applyFont="1" applyFill="1" applyBorder="1" applyAlignment="1">
      <alignment vertical="center" wrapText="1"/>
    </xf>
    <xf numFmtId="0" fontId="7" fillId="34" borderId="38" xfId="0" applyFont="1" applyFill="1" applyBorder="1" applyAlignment="1">
      <alignment vertical="center"/>
    </xf>
    <xf numFmtId="0" fontId="7" fillId="34" borderId="29" xfId="0" applyFont="1" applyFill="1" applyBorder="1" applyAlignment="1">
      <alignment vertical="center"/>
    </xf>
    <xf numFmtId="0" fontId="7" fillId="34" borderId="27" xfId="0" applyFont="1" applyFill="1" applyBorder="1" applyAlignment="1">
      <alignment horizontal="left" vertical="center" wrapText="1"/>
    </xf>
    <xf numFmtId="177" fontId="7" fillId="34" borderId="27" xfId="0" applyNumberFormat="1" applyFont="1" applyFill="1" applyBorder="1" applyAlignment="1">
      <alignment horizontal="distributed" vertical="center" indent="2"/>
    </xf>
    <xf numFmtId="177" fontId="7" fillId="34" borderId="38" xfId="0" applyNumberFormat="1" applyFont="1" applyFill="1" applyBorder="1" applyAlignment="1">
      <alignment horizontal="distributed" vertical="center" indent="2"/>
    </xf>
    <xf numFmtId="177" fontId="7" fillId="34" borderId="29" xfId="0" applyNumberFormat="1" applyFont="1" applyFill="1" applyBorder="1" applyAlignment="1">
      <alignment horizontal="distributed" vertical="center" indent="2"/>
    </xf>
    <xf numFmtId="0" fontId="7" fillId="34" borderId="28" xfId="0" applyFont="1" applyFill="1" applyBorder="1" applyAlignment="1">
      <alignment horizontal="distributed" vertical="center" indent="2"/>
    </xf>
    <xf numFmtId="0" fontId="7" fillId="34" borderId="50" xfId="0" applyFont="1" applyFill="1" applyBorder="1" applyAlignment="1">
      <alignment horizontal="distributed" vertical="center" indent="2"/>
    </xf>
    <xf numFmtId="0" fontId="7" fillId="34" borderId="30" xfId="0" applyFont="1" applyFill="1" applyBorder="1" applyAlignment="1">
      <alignment horizontal="distributed" vertical="center" indent="2"/>
    </xf>
    <xf numFmtId="0" fontId="7" fillId="34" borderId="71" xfId="0" applyFont="1" applyFill="1" applyBorder="1" applyAlignment="1">
      <alignment horizontal="distributed" vertical="center" indent="2"/>
    </xf>
    <xf numFmtId="0" fontId="7" fillId="34" borderId="52" xfId="0" applyFont="1" applyFill="1" applyBorder="1" applyAlignment="1">
      <alignment horizontal="distributed" vertical="center" indent="2"/>
    </xf>
    <xf numFmtId="0" fontId="7" fillId="34" borderId="75" xfId="0" applyFont="1" applyFill="1" applyBorder="1" applyAlignment="1">
      <alignment horizontal="distributed" vertical="center" indent="2"/>
    </xf>
    <xf numFmtId="0" fontId="7" fillId="34" borderId="64" xfId="0" applyFont="1" applyFill="1" applyBorder="1" applyAlignment="1">
      <alignment horizontal="center"/>
    </xf>
    <xf numFmtId="0" fontId="7" fillId="34" borderId="82" xfId="0" applyFont="1" applyFill="1" applyBorder="1" applyAlignment="1">
      <alignment horizontal="center"/>
    </xf>
    <xf numFmtId="0" fontId="7" fillId="34" borderId="0" xfId="0" applyFont="1" applyFill="1" applyBorder="1" applyAlignment="1">
      <alignment horizontal="left" vertical="center" wrapText="1"/>
    </xf>
    <xf numFmtId="0" fontId="7" fillId="34" borderId="69" xfId="0" applyFont="1" applyFill="1" applyBorder="1" applyAlignment="1">
      <alignment horizontal="distributed" vertical="center"/>
    </xf>
    <xf numFmtId="0" fontId="7" fillId="34" borderId="64" xfId="0" applyFont="1" applyFill="1" applyBorder="1" applyAlignment="1">
      <alignment horizontal="distributed" vertical="center"/>
    </xf>
    <xf numFmtId="0" fontId="7" fillId="34" borderId="82" xfId="0" applyFont="1" applyFill="1" applyBorder="1" applyAlignment="1">
      <alignment horizontal="distributed" vertical="center"/>
    </xf>
    <xf numFmtId="0" fontId="7" fillId="34" borderId="27" xfId="0" applyFont="1" applyFill="1" applyBorder="1" applyAlignment="1">
      <alignment horizontal="distributed" vertical="center" indent="2"/>
    </xf>
    <xf numFmtId="0" fontId="7" fillId="34" borderId="38" xfId="0" applyFont="1" applyFill="1" applyBorder="1" applyAlignment="1">
      <alignment horizontal="distributed" vertical="center" indent="2"/>
    </xf>
    <xf numFmtId="0" fontId="7" fillId="34" borderId="29" xfId="0" applyFont="1" applyFill="1" applyBorder="1" applyAlignment="1">
      <alignment horizontal="distributed" vertical="center" indent="2"/>
    </xf>
    <xf numFmtId="0" fontId="7" fillId="34" borderId="68" xfId="0" applyFont="1" applyFill="1" applyBorder="1" applyAlignment="1">
      <alignment horizontal="distributed" vertical="center" indent="2"/>
    </xf>
    <xf numFmtId="0" fontId="7" fillId="34" borderId="85" xfId="0" applyFont="1" applyFill="1" applyBorder="1" applyAlignment="1">
      <alignment horizontal="distributed" indent="2"/>
    </xf>
    <xf numFmtId="0" fontId="7" fillId="34" borderId="86" xfId="0" applyFont="1" applyFill="1" applyBorder="1" applyAlignment="1">
      <alignment horizontal="distributed" indent="2"/>
    </xf>
    <xf numFmtId="0" fontId="7" fillId="34" borderId="0" xfId="0" applyFont="1" applyFill="1" applyAlignment="1">
      <alignment horizontal="left" vertical="center" wrapText="1"/>
    </xf>
    <xf numFmtId="0" fontId="10" fillId="34" borderId="52" xfId="0" applyFont="1" applyFill="1" applyBorder="1" applyAlignment="1">
      <alignment vertical="center"/>
    </xf>
    <xf numFmtId="0" fontId="7" fillId="34" borderId="82" xfId="0" applyFont="1" applyFill="1" applyBorder="1" applyAlignment="1">
      <alignment horizontal="center" vertical="center"/>
    </xf>
    <xf numFmtId="0" fontId="7" fillId="34" borderId="65" xfId="0" applyFont="1" applyFill="1" applyBorder="1" applyAlignment="1">
      <alignment horizontal="center" vertical="center"/>
    </xf>
    <xf numFmtId="0" fontId="9" fillId="34" borderId="47"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7" fillId="34" borderId="31" xfId="0" applyFont="1" applyFill="1" applyBorder="1" applyAlignment="1">
      <alignment horizontal="distributed" vertical="center" indent="1" shrinkToFit="1"/>
    </xf>
    <xf numFmtId="0" fontId="7" fillId="34" borderId="32" xfId="0" applyFont="1" applyFill="1" applyBorder="1" applyAlignment="1">
      <alignment horizontal="distributed" vertical="center" indent="1" shrinkToFit="1"/>
    </xf>
    <xf numFmtId="41" fontId="7" fillId="34" borderId="34" xfId="0" applyNumberFormat="1" applyFont="1" applyFill="1" applyBorder="1" applyAlignment="1" applyProtection="1">
      <alignment horizontal="center" vertical="center"/>
      <protection locked="0"/>
    </xf>
    <xf numFmtId="41" fontId="7" fillId="34" borderId="32" xfId="0" applyNumberFormat="1" applyFont="1" applyFill="1" applyBorder="1" applyAlignment="1" applyProtection="1">
      <alignment horizontal="center" vertical="center"/>
      <protection locked="0"/>
    </xf>
    <xf numFmtId="0" fontId="7" fillId="34" borderId="68" xfId="0" applyFont="1" applyFill="1" applyBorder="1" applyAlignment="1">
      <alignment horizontal="distributed" vertical="center" indent="1"/>
    </xf>
    <xf numFmtId="0" fontId="7" fillId="34" borderId="86" xfId="0" applyFont="1" applyFill="1" applyBorder="1" applyAlignment="1">
      <alignment horizontal="distributed" vertical="center" indent="1"/>
    </xf>
    <xf numFmtId="41" fontId="7" fillId="34" borderId="99" xfId="0" applyNumberFormat="1" applyFont="1" applyFill="1" applyBorder="1" applyAlignment="1" applyProtection="1">
      <alignment horizontal="center" vertical="center"/>
      <protection locked="0"/>
    </xf>
    <xf numFmtId="41" fontId="7" fillId="34" borderId="86" xfId="0" applyNumberFormat="1" applyFont="1" applyFill="1" applyBorder="1" applyAlignment="1" applyProtection="1">
      <alignment horizontal="center" vertical="center"/>
      <protection locked="0"/>
    </xf>
    <xf numFmtId="0" fontId="7" fillId="34" borderId="69" xfId="0" applyFont="1" applyFill="1" applyBorder="1" applyAlignment="1">
      <alignment horizontal="distributed" vertical="center" indent="1"/>
    </xf>
    <xf numFmtId="0" fontId="7" fillId="34" borderId="82" xfId="0" applyFont="1" applyFill="1" applyBorder="1" applyAlignment="1">
      <alignment horizontal="distributed" vertical="center" indent="1"/>
    </xf>
    <xf numFmtId="41" fontId="7" fillId="34" borderId="65" xfId="0" applyNumberFormat="1" applyFont="1" applyFill="1" applyBorder="1" applyAlignment="1" applyProtection="1">
      <alignment horizontal="center" vertical="center"/>
      <protection locked="0"/>
    </xf>
    <xf numFmtId="41" fontId="7" fillId="34" borderId="82" xfId="0" applyNumberFormat="1" applyFont="1" applyFill="1" applyBorder="1" applyAlignment="1" applyProtection="1">
      <alignment horizontal="center" vertical="center"/>
      <protection locked="0"/>
    </xf>
    <xf numFmtId="0" fontId="7" fillId="34" borderId="48" xfId="0" applyFont="1" applyFill="1" applyBorder="1" applyAlignment="1">
      <alignment horizontal="left" vertical="center" wrapText="1"/>
    </xf>
    <xf numFmtId="0" fontId="7" fillId="34" borderId="27" xfId="0" applyFont="1" applyFill="1" applyBorder="1" applyAlignment="1">
      <alignment horizontal="distributed" vertical="center" indent="1"/>
    </xf>
    <xf numFmtId="0" fontId="7" fillId="34" borderId="29" xfId="0" applyFont="1" applyFill="1" applyBorder="1" applyAlignment="1">
      <alignment horizontal="distributed" vertical="center" indent="1"/>
    </xf>
    <xf numFmtId="41" fontId="7" fillId="34" borderId="37" xfId="0" applyNumberFormat="1" applyFont="1" applyFill="1" applyBorder="1" applyAlignment="1" applyProtection="1">
      <alignment horizontal="center" vertical="center"/>
      <protection locked="0"/>
    </xf>
    <xf numFmtId="41" fontId="7" fillId="34" borderId="29" xfId="0" applyNumberFormat="1" applyFont="1" applyFill="1" applyBorder="1" applyAlignment="1" applyProtection="1">
      <alignment horizontal="center" vertical="center"/>
      <protection locked="0"/>
    </xf>
    <xf numFmtId="0" fontId="7" fillId="0" borderId="8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8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7" xfId="0" applyFont="1" applyFill="1" applyBorder="1" applyAlignment="1">
      <alignment horizontal="left" vertical="center" wrapText="1" shrinkToFit="1"/>
    </xf>
    <xf numFmtId="0" fontId="7" fillId="0" borderId="59" xfId="0" applyFont="1" applyFill="1" applyBorder="1" applyAlignment="1">
      <alignment horizontal="left" vertical="center" wrapText="1" shrinkToFit="1"/>
    </xf>
    <xf numFmtId="0" fontId="7" fillId="0" borderId="27"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68" xfId="0" applyFont="1" applyFill="1" applyBorder="1" applyAlignment="1">
      <alignment vertical="top" wrapText="1" shrinkToFit="1"/>
    </xf>
    <xf numFmtId="0" fontId="7" fillId="0" borderId="53" xfId="0" applyFont="1" applyFill="1" applyBorder="1" applyAlignment="1">
      <alignment vertical="top" wrapText="1" shrinkToFit="1"/>
    </xf>
    <xf numFmtId="0" fontId="7" fillId="0" borderId="31" xfId="0" applyFont="1" applyFill="1" applyBorder="1" applyAlignment="1">
      <alignment horizontal="left" vertical="center" wrapText="1" shrinkToFit="1"/>
    </xf>
    <xf numFmtId="0" fontId="7" fillId="0" borderId="36" xfId="0" applyFont="1" applyFill="1" applyBorder="1" applyAlignment="1">
      <alignment horizontal="left" vertical="center" wrapText="1" shrinkToFit="1"/>
    </xf>
    <xf numFmtId="0" fontId="7" fillId="0" borderId="72" xfId="0" applyFont="1" applyFill="1" applyBorder="1" applyAlignment="1">
      <alignment horizontal="left" vertical="center" wrapText="1" shrinkToFit="1"/>
    </xf>
    <xf numFmtId="0" fontId="7" fillId="0" borderId="79" xfId="0" applyFont="1" applyFill="1" applyBorder="1" applyAlignment="1">
      <alignment horizontal="left" vertical="center" wrapText="1" shrinkToFit="1"/>
    </xf>
    <xf numFmtId="0" fontId="7" fillId="0" borderId="47" xfId="0" applyFont="1" applyFill="1" applyBorder="1" applyAlignment="1">
      <alignment horizontal="left" vertical="center" wrapText="1"/>
    </xf>
    <xf numFmtId="0" fontId="11" fillId="0" borderId="27" xfId="0" applyFont="1" applyFill="1" applyBorder="1" applyAlignment="1">
      <alignment horizontal="left" vertical="center" wrapText="1" shrinkToFit="1"/>
    </xf>
    <xf numFmtId="0" fontId="11" fillId="0" borderId="39" xfId="0" applyFont="1" applyFill="1" applyBorder="1" applyAlignment="1">
      <alignment horizontal="left" vertical="center" shrinkToFi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50" xfId="0" applyFont="1" applyFill="1" applyBorder="1" applyAlignment="1">
      <alignment horizontal="left" vertical="center" wrapText="1" shrinkToFit="1"/>
    </xf>
    <xf numFmtId="0" fontId="7" fillId="0" borderId="4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7"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99"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8" fillId="0" borderId="0" xfId="0" applyFont="1" applyFill="1" applyAlignment="1">
      <alignment vertical="center"/>
    </xf>
    <xf numFmtId="0" fontId="7" fillId="0" borderId="0" xfId="0" applyFont="1" applyFill="1" applyAlignment="1">
      <alignment horizontal="left" vertical="center" wrapText="1"/>
    </xf>
    <xf numFmtId="0" fontId="7" fillId="0" borderId="64" xfId="0" applyFont="1" applyFill="1" applyBorder="1" applyAlignment="1">
      <alignment horizontal="distributed" vertical="center"/>
    </xf>
    <xf numFmtId="0" fontId="7" fillId="0" borderId="21" xfId="0" applyFont="1" applyBorder="1" applyAlignment="1">
      <alignment/>
    </xf>
    <xf numFmtId="0" fontId="7" fillId="0" borderId="65" xfId="0" applyFont="1" applyFill="1" applyBorder="1" applyAlignment="1">
      <alignment horizontal="distributed" vertical="center"/>
    </xf>
    <xf numFmtId="0" fontId="7" fillId="0" borderId="82"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50"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50"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38" xfId="0" applyFont="1" applyFill="1" applyBorder="1" applyAlignment="1">
      <alignment horizontal="left" vertical="center" wrapText="1" shrinkToFit="1"/>
    </xf>
    <xf numFmtId="0" fontId="7" fillId="0" borderId="39" xfId="0" applyFont="1" applyFill="1" applyBorder="1" applyAlignment="1">
      <alignment horizontal="left" vertical="center" wrapText="1" shrinkToFit="1"/>
    </xf>
    <xf numFmtId="0" fontId="7" fillId="0" borderId="27" xfId="0" applyFont="1" applyFill="1" applyBorder="1" applyAlignment="1">
      <alignment horizontal="left" vertical="center"/>
    </xf>
    <xf numFmtId="0" fontId="7" fillId="0" borderId="35" xfId="0" applyFont="1" applyFill="1" applyBorder="1" applyAlignment="1">
      <alignment horizontal="left" vertical="center" wrapText="1" shrinkToFit="1"/>
    </xf>
    <xf numFmtId="0" fontId="7" fillId="0" borderId="27"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10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3" xfId="0" applyFont="1" applyFill="1" applyBorder="1" applyAlignment="1">
      <alignment horizontal="distributed" vertical="center"/>
    </xf>
    <xf numFmtId="0" fontId="7" fillId="0" borderId="49" xfId="0" applyFont="1" applyFill="1" applyBorder="1" applyAlignment="1">
      <alignment horizontal="distributed" vertical="center"/>
    </xf>
    <xf numFmtId="0" fontId="7" fillId="0" borderId="98" xfId="0" applyFont="1" applyFill="1" applyBorder="1" applyAlignment="1">
      <alignment horizontal="distributed" vertical="center"/>
    </xf>
    <xf numFmtId="0" fontId="0" fillId="0" borderId="18" xfId="0" applyFont="1" applyFill="1" applyBorder="1" applyAlignment="1">
      <alignment horizontal="distributed" vertical="center"/>
    </xf>
    <xf numFmtId="0" fontId="7" fillId="0" borderId="27"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7" fillId="0"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2" fillId="34" borderId="72" xfId="0" applyFont="1" applyFill="1" applyBorder="1" applyAlignment="1">
      <alignment horizontal="left" vertical="center"/>
    </xf>
    <xf numFmtId="38" fontId="7" fillId="34" borderId="47" xfId="51" applyFont="1" applyFill="1" applyBorder="1" applyAlignment="1">
      <alignment horizontal="center" vertical="center"/>
    </xf>
    <xf numFmtId="38" fontId="7" fillId="34" borderId="17" xfId="51" applyFont="1" applyFill="1" applyBorder="1" applyAlignment="1">
      <alignment horizontal="center" vertical="center"/>
    </xf>
    <xf numFmtId="38" fontId="7" fillId="34" borderId="23" xfId="51" applyFont="1" applyFill="1" applyBorder="1" applyAlignment="1">
      <alignment horizontal="center" vertical="center"/>
    </xf>
    <xf numFmtId="0" fontId="7" fillId="34" borderId="102"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69" xfId="0" applyFont="1" applyFill="1" applyBorder="1" applyAlignment="1">
      <alignment vertical="center"/>
    </xf>
    <xf numFmtId="0" fontId="0" fillId="34" borderId="82" xfId="0" applyFont="1" applyFill="1" applyBorder="1" applyAlignment="1">
      <alignment vertical="center"/>
    </xf>
    <xf numFmtId="0" fontId="0" fillId="34" borderId="47"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69" xfId="0" applyFont="1" applyFill="1" applyBorder="1" applyAlignment="1">
      <alignment horizontal="center" vertical="center"/>
    </xf>
    <xf numFmtId="0" fontId="0" fillId="34" borderId="74"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47" xfId="0" applyFont="1" applyFill="1" applyBorder="1" applyAlignment="1">
      <alignment vertical="center" wrapText="1"/>
    </xf>
    <xf numFmtId="0" fontId="0" fillId="34" borderId="23" xfId="0" applyFont="1" applyFill="1" applyBorder="1" applyAlignment="1">
      <alignment vertical="center" wrapText="1"/>
    </xf>
    <xf numFmtId="0" fontId="0" fillId="34" borderId="47" xfId="0" applyFont="1" applyFill="1" applyBorder="1" applyAlignment="1">
      <alignment vertical="center"/>
    </xf>
    <xf numFmtId="0" fontId="0" fillId="34" borderId="23" xfId="0" applyFont="1" applyFill="1" applyBorder="1" applyAlignment="1">
      <alignment vertical="center"/>
    </xf>
    <xf numFmtId="0" fontId="7" fillId="0" borderId="103"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68" xfId="0" applyFont="1" applyFill="1" applyBorder="1" applyAlignment="1">
      <alignment vertical="center"/>
    </xf>
    <xf numFmtId="0" fontId="7" fillId="0" borderId="86" xfId="0" applyFont="1" applyFill="1" applyBorder="1" applyAlignment="1">
      <alignment vertical="center"/>
    </xf>
    <xf numFmtId="0" fontId="7" fillId="0" borderId="67" xfId="0" applyFont="1" applyFill="1" applyBorder="1" applyAlignment="1">
      <alignment vertical="center"/>
    </xf>
    <xf numFmtId="0" fontId="7" fillId="0" borderId="98" xfId="0" applyFont="1" applyFill="1" applyBorder="1" applyAlignment="1">
      <alignment vertical="center"/>
    </xf>
    <xf numFmtId="0" fontId="7" fillId="0" borderId="67" xfId="0" applyFont="1" applyFill="1" applyBorder="1" applyAlignment="1">
      <alignment horizontal="left" vertical="center" shrinkToFit="1"/>
    </xf>
    <xf numFmtId="0" fontId="7" fillId="0" borderId="98" xfId="0" applyFont="1" applyFill="1" applyBorder="1" applyAlignment="1">
      <alignment horizontal="left" vertical="center" shrinkToFit="1"/>
    </xf>
    <xf numFmtId="0" fontId="7" fillId="0" borderId="48" xfId="0" applyFont="1" applyFill="1" applyBorder="1" applyAlignment="1">
      <alignment horizontal="right" vertical="center"/>
    </xf>
    <xf numFmtId="0" fontId="7" fillId="0" borderId="4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43" xfId="0" applyFont="1" applyFill="1" applyBorder="1" applyAlignment="1">
      <alignment horizontal="distributed" vertical="center"/>
    </xf>
    <xf numFmtId="0" fontId="7" fillId="0" borderId="20" xfId="0" applyFont="1" applyFill="1" applyBorder="1" applyAlignment="1">
      <alignment horizontal="distributed" vertical="center"/>
    </xf>
    <xf numFmtId="41" fontId="7" fillId="0" borderId="59" xfId="0" applyNumberFormat="1" applyFont="1" applyFill="1" applyBorder="1" applyAlignment="1">
      <alignment vertical="center"/>
    </xf>
    <xf numFmtId="41" fontId="7" fillId="0" borderId="36" xfId="0" applyNumberFormat="1" applyFont="1" applyFill="1" applyBorder="1" applyAlignment="1">
      <alignment vertical="center"/>
    </xf>
    <xf numFmtId="41" fontId="7" fillId="0" borderId="81" xfId="0" applyNumberFormat="1" applyFont="1" applyFill="1" applyBorder="1" applyAlignment="1">
      <alignment vertical="center"/>
    </xf>
    <xf numFmtId="41" fontId="7" fillId="0" borderId="56" xfId="0" applyNumberFormat="1" applyFont="1" applyFill="1" applyBorder="1" applyAlignment="1">
      <alignment vertical="center"/>
    </xf>
    <xf numFmtId="0" fontId="7" fillId="0" borderId="103" xfId="0" applyFont="1" applyFill="1" applyBorder="1" applyAlignment="1">
      <alignment horizontal="distributed" vertical="center"/>
    </xf>
    <xf numFmtId="0" fontId="7" fillId="0" borderId="11" xfId="0" applyFont="1" applyFill="1" applyBorder="1" applyAlignment="1">
      <alignment horizontal="distributed" vertical="center"/>
    </xf>
    <xf numFmtId="187" fontId="7" fillId="0" borderId="81" xfId="0" applyNumberFormat="1" applyFont="1" applyFill="1" applyBorder="1" applyAlignment="1">
      <alignment vertical="center"/>
    </xf>
    <xf numFmtId="187" fontId="7" fillId="0" borderId="56" xfId="0" applyNumberFormat="1" applyFont="1" applyFill="1" applyBorder="1" applyAlignment="1">
      <alignment vertical="center"/>
    </xf>
    <xf numFmtId="0" fontId="7" fillId="0" borderId="29" xfId="0" applyFont="1" applyFill="1" applyBorder="1" applyAlignment="1">
      <alignment horizontal="center" vertical="center" shrinkToFit="1"/>
    </xf>
    <xf numFmtId="0" fontId="7" fillId="0" borderId="0" xfId="0" applyFont="1" applyFill="1" applyAlignment="1">
      <alignment vertical="center"/>
    </xf>
    <xf numFmtId="0" fontId="7" fillId="0" borderId="67"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7" fillId="0" borderId="76" xfId="0" applyFont="1" applyFill="1" applyBorder="1" applyAlignment="1">
      <alignment horizontal="distributed" vertical="center"/>
    </xf>
    <xf numFmtId="0" fontId="7" fillId="0" borderId="61" xfId="0" applyFont="1" applyFill="1" applyBorder="1" applyAlignment="1">
      <alignment horizontal="distributed" vertical="center"/>
    </xf>
    <xf numFmtId="38" fontId="8" fillId="0" borderId="0" xfId="51" applyFont="1" applyFill="1" applyAlignment="1">
      <alignment vertical="center"/>
    </xf>
    <xf numFmtId="38" fontId="7" fillId="0" borderId="69" xfId="51" applyFont="1" applyFill="1" applyBorder="1" applyAlignment="1">
      <alignment horizontal="distributed" vertical="center"/>
    </xf>
    <xf numFmtId="38" fontId="7" fillId="0" borderId="82" xfId="51" applyFont="1" applyFill="1" applyBorder="1" applyAlignment="1">
      <alignment horizontal="distributed" vertical="center"/>
    </xf>
    <xf numFmtId="0" fontId="7" fillId="0" borderId="41" xfId="0" applyNumberFormat="1" applyFont="1" applyFill="1" applyBorder="1" applyAlignment="1">
      <alignment horizontal="distributed" vertical="center"/>
    </xf>
    <xf numFmtId="0" fontId="7" fillId="0" borderId="104" xfId="0" applyNumberFormat="1" applyFont="1" applyFill="1" applyBorder="1" applyAlignment="1">
      <alignment horizontal="distributed" vertical="center"/>
    </xf>
    <xf numFmtId="0" fontId="7" fillId="0" borderId="42" xfId="0" applyNumberFormat="1" applyFont="1" applyFill="1" applyBorder="1" applyAlignment="1">
      <alignment horizontal="distributed" vertical="center"/>
    </xf>
    <xf numFmtId="0" fontId="7" fillId="0" borderId="43" xfId="0" applyNumberFormat="1" applyFont="1" applyFill="1" applyBorder="1" applyAlignment="1">
      <alignment horizontal="distributed" vertical="center"/>
    </xf>
    <xf numFmtId="0" fontId="7" fillId="0" borderId="46" xfId="0" applyNumberFormat="1" applyFont="1" applyFill="1" applyBorder="1" applyAlignment="1">
      <alignment horizontal="distributed" vertical="center"/>
    </xf>
    <xf numFmtId="0" fontId="7" fillId="0" borderId="57" xfId="0" applyFont="1" applyFill="1" applyBorder="1" applyAlignment="1">
      <alignment horizontal="distributed" vertical="center" shrinkToFit="1"/>
    </xf>
    <xf numFmtId="0" fontId="7" fillId="0" borderId="55" xfId="0" applyFont="1" applyFill="1" applyBorder="1" applyAlignment="1">
      <alignment horizontal="distributed" vertical="center" shrinkToFit="1"/>
    </xf>
    <xf numFmtId="0" fontId="7" fillId="0" borderId="57" xfId="0" applyFont="1" applyFill="1" applyBorder="1" applyAlignment="1">
      <alignment horizontal="distributed" vertical="center" wrapText="1"/>
    </xf>
    <xf numFmtId="0" fontId="7" fillId="0" borderId="45" xfId="0" applyFont="1" applyFill="1" applyBorder="1" applyAlignment="1">
      <alignment horizontal="distributed" vertical="center" wrapText="1"/>
    </xf>
    <xf numFmtId="0" fontId="7" fillId="0" borderId="55" xfId="0" applyFont="1" applyFill="1" applyBorder="1" applyAlignment="1">
      <alignment horizontal="distributed" vertical="center" wrapText="1"/>
    </xf>
    <xf numFmtId="0" fontId="9" fillId="0" borderId="55"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38" fontId="7" fillId="0" borderId="48" xfId="51" applyFont="1" applyFill="1" applyBorder="1" applyAlignment="1">
      <alignment horizontal="right" vertical="center"/>
    </xf>
    <xf numFmtId="0" fontId="7" fillId="0" borderId="51" xfId="0" applyNumberFormat="1" applyFont="1" applyFill="1" applyBorder="1" applyAlignment="1">
      <alignment horizontal="distributed" vertical="center"/>
    </xf>
    <xf numFmtId="0" fontId="7" fillId="0" borderId="14" xfId="0" applyNumberFormat="1" applyFont="1" applyFill="1" applyBorder="1" applyAlignment="1">
      <alignment horizontal="distributed" vertical="center"/>
    </xf>
    <xf numFmtId="0" fontId="8" fillId="0" borderId="0" xfId="0" applyFont="1" applyFill="1" applyAlignment="1">
      <alignment horizontal="left" vertical="center"/>
    </xf>
    <xf numFmtId="0" fontId="7" fillId="0" borderId="19"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41" xfId="0" applyFont="1" applyFill="1" applyBorder="1" applyAlignment="1">
      <alignment horizontal="distributed" vertical="center" wrapText="1"/>
    </xf>
    <xf numFmtId="0" fontId="7" fillId="0" borderId="42" xfId="0" applyFont="1" applyFill="1" applyBorder="1" applyAlignment="1">
      <alignment horizontal="distributed" vertical="center" wrapText="1"/>
    </xf>
    <xf numFmtId="0" fontId="7" fillId="0" borderId="46" xfId="0" applyFont="1" applyFill="1" applyBorder="1" applyAlignment="1">
      <alignment horizontal="distributed" vertical="center" wrapText="1"/>
    </xf>
    <xf numFmtId="0" fontId="7" fillId="0" borderId="59" xfId="0" applyFont="1" applyFill="1" applyBorder="1" applyAlignment="1">
      <alignment horizontal="distributed" vertical="center" wrapText="1"/>
    </xf>
    <xf numFmtId="0" fontId="7" fillId="0" borderId="39" xfId="0" applyFont="1" applyFill="1" applyBorder="1" applyAlignment="1">
      <alignment horizontal="distributed" vertical="center" wrapText="1"/>
    </xf>
    <xf numFmtId="0" fontId="7" fillId="0" borderId="28" xfId="0" applyFont="1" applyFill="1" applyBorder="1" applyAlignment="1">
      <alignment vertical="center"/>
    </xf>
    <xf numFmtId="0" fontId="7" fillId="0" borderId="30" xfId="0" applyFont="1" applyFill="1" applyBorder="1" applyAlignment="1">
      <alignment vertical="center"/>
    </xf>
    <xf numFmtId="0" fontId="7" fillId="0" borderId="5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7" xfId="0" applyFont="1" applyFill="1" applyBorder="1" applyAlignment="1">
      <alignment vertical="center"/>
    </xf>
    <xf numFmtId="0" fontId="7" fillId="0" borderId="29" xfId="0" applyFont="1" applyFill="1" applyBorder="1" applyAlignment="1">
      <alignment vertical="center"/>
    </xf>
    <xf numFmtId="0" fontId="7" fillId="0" borderId="55" xfId="0" applyFont="1" applyFill="1" applyBorder="1" applyAlignment="1">
      <alignment horizontal="center" vertical="center" shrinkToFit="1"/>
    </xf>
    <xf numFmtId="0" fontId="7" fillId="0" borderId="42" xfId="0" applyFont="1" applyFill="1" applyBorder="1" applyAlignment="1">
      <alignment horizontal="distributed" vertical="center"/>
    </xf>
    <xf numFmtId="0" fontId="7" fillId="0" borderId="46" xfId="0" applyFont="1" applyFill="1" applyBorder="1" applyAlignment="1">
      <alignment horizontal="distributed" vertical="center"/>
    </xf>
    <xf numFmtId="0" fontId="7" fillId="0" borderId="104" xfId="0" applyFont="1" applyFill="1" applyBorder="1" applyAlignment="1">
      <alignment vertical="center"/>
    </xf>
    <xf numFmtId="0" fontId="7" fillId="0" borderId="15" xfId="0" applyFont="1" applyFill="1" applyBorder="1" applyAlignment="1">
      <alignment vertical="center"/>
    </xf>
    <xf numFmtId="0" fontId="7" fillId="0" borderId="9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98" xfId="0" applyFont="1" applyFill="1" applyBorder="1" applyAlignment="1">
      <alignment horizontal="center" vertical="center" wrapText="1"/>
    </xf>
    <xf numFmtId="38" fontId="7" fillId="0" borderId="41" xfId="51" applyFont="1" applyFill="1" applyBorder="1" applyAlignment="1">
      <alignment horizontal="distributed" vertical="center"/>
    </xf>
    <xf numFmtId="38" fontId="7" fillId="0" borderId="104" xfId="51" applyFont="1" applyFill="1" applyBorder="1" applyAlignment="1">
      <alignment horizontal="distributed" vertical="center"/>
    </xf>
    <xf numFmtId="38" fontId="7" fillId="0" borderId="42" xfId="51" applyFont="1" applyFill="1" applyBorder="1" applyAlignment="1">
      <alignment horizontal="distributed" vertical="center"/>
    </xf>
    <xf numFmtId="38" fontId="7" fillId="0" borderId="46" xfId="51" applyFont="1" applyFill="1" applyBorder="1" applyAlignment="1">
      <alignment horizontal="distributed" vertical="center"/>
    </xf>
    <xf numFmtId="38" fontId="7" fillId="0" borderId="51" xfId="51" applyFont="1" applyFill="1" applyBorder="1" applyAlignment="1">
      <alignment horizontal="distributed" vertical="center"/>
    </xf>
    <xf numFmtId="38" fontId="7" fillId="0" borderId="14" xfId="51" applyFont="1" applyFill="1" applyBorder="1" applyAlignment="1">
      <alignment horizontal="distributed" vertical="center"/>
    </xf>
    <xf numFmtId="38" fontId="7" fillId="0" borderId="55" xfId="51" applyFont="1" applyFill="1" applyBorder="1" applyAlignment="1">
      <alignment horizontal="distributed" vertical="center" wrapText="1"/>
    </xf>
    <xf numFmtId="38" fontId="7" fillId="0" borderId="43" xfId="51" applyFont="1" applyFill="1" applyBorder="1" applyAlignment="1">
      <alignment horizontal="distributed" vertical="center"/>
    </xf>
    <xf numFmtId="38" fontId="7" fillId="0" borderId="57" xfId="51" applyFont="1" applyFill="1" applyBorder="1" applyAlignment="1">
      <alignment horizontal="distributed" vertical="center" wrapText="1"/>
    </xf>
    <xf numFmtId="38" fontId="7" fillId="0" borderId="97" xfId="51" applyFont="1" applyFill="1" applyBorder="1" applyAlignment="1">
      <alignment horizontal="distributed" vertical="center" wrapText="1"/>
    </xf>
    <xf numFmtId="38" fontId="7" fillId="0" borderId="49" xfId="51" applyFont="1" applyFill="1" applyBorder="1" applyAlignment="1">
      <alignment horizontal="distributed" vertical="center" wrapText="1"/>
    </xf>
    <xf numFmtId="38" fontId="7" fillId="0" borderId="59" xfId="51" applyFont="1" applyFill="1" applyBorder="1" applyAlignment="1">
      <alignment horizontal="distributed" vertical="center" wrapText="1"/>
    </xf>
    <xf numFmtId="38" fontId="7" fillId="0" borderId="45" xfId="51" applyFont="1" applyFill="1" applyBorder="1" applyAlignment="1">
      <alignment horizontal="distributed" vertical="center" wrapText="1"/>
    </xf>
    <xf numFmtId="38" fontId="7" fillId="0" borderId="19" xfId="51" applyFont="1" applyFill="1" applyBorder="1" applyAlignment="1">
      <alignment horizontal="distributed" vertical="center" wrapText="1"/>
    </xf>
    <xf numFmtId="38" fontId="7" fillId="0" borderId="105" xfId="51" applyFont="1" applyFill="1" applyBorder="1" applyAlignment="1">
      <alignment horizontal="center" vertical="distributed" textRotation="255"/>
    </xf>
    <xf numFmtId="38" fontId="7" fillId="0" borderId="76" xfId="51" applyFont="1" applyFill="1" applyBorder="1" applyAlignment="1">
      <alignment horizontal="center" vertical="distributed" textRotation="255"/>
    </xf>
    <xf numFmtId="38" fontId="7" fillId="0" borderId="51" xfId="51" applyFont="1" applyFill="1" applyBorder="1" applyAlignment="1">
      <alignment horizontal="center" vertical="distributed" textRotation="255"/>
    </xf>
    <xf numFmtId="38" fontId="7" fillId="0" borderId="45" xfId="51" applyFont="1" applyFill="1" applyBorder="1" applyAlignment="1">
      <alignment horizontal="distributed" vertical="center"/>
    </xf>
    <xf numFmtId="38" fontId="7" fillId="0" borderId="19" xfId="51" applyFont="1" applyFill="1" applyBorder="1" applyAlignment="1">
      <alignment horizontal="distributed" vertical="center"/>
    </xf>
    <xf numFmtId="38" fontId="7" fillId="0" borderId="22" xfId="51" applyFont="1" applyFill="1" applyBorder="1" applyAlignment="1">
      <alignment horizontal="distributed" vertical="center"/>
    </xf>
    <xf numFmtId="38" fontId="7" fillId="0" borderId="39" xfId="51" applyFont="1" applyFill="1" applyBorder="1" applyAlignment="1">
      <alignment horizontal="distributed" vertical="center" wrapText="1"/>
    </xf>
    <xf numFmtId="38" fontId="7" fillId="0" borderId="57" xfId="51" applyFont="1" applyFill="1" applyBorder="1" applyAlignment="1">
      <alignment horizontal="center" vertical="center" shrinkToFit="1"/>
    </xf>
    <xf numFmtId="38" fontId="7" fillId="0" borderId="55" xfId="51" applyFont="1" applyFill="1" applyBorder="1" applyAlignment="1">
      <alignment horizontal="center" vertical="center" shrinkToFit="1"/>
    </xf>
    <xf numFmtId="38" fontId="11" fillId="0" borderId="55" xfId="51" applyFont="1" applyFill="1" applyBorder="1" applyAlignment="1">
      <alignment horizontal="distributed" vertical="center" wrapText="1"/>
    </xf>
    <xf numFmtId="38" fontId="7" fillId="0" borderId="37" xfId="51" applyFont="1" applyFill="1" applyBorder="1" applyAlignment="1">
      <alignment horizontal="center" vertical="center" shrinkToFit="1"/>
    </xf>
    <xf numFmtId="38" fontId="7" fillId="0" borderId="39" xfId="51" applyFont="1" applyFill="1" applyBorder="1" applyAlignment="1">
      <alignment horizontal="center" vertical="center" shrinkToFit="1"/>
    </xf>
    <xf numFmtId="38" fontId="7" fillId="0" borderId="41" xfId="51" applyFont="1" applyFill="1" applyBorder="1" applyAlignment="1">
      <alignment horizontal="distributed" vertical="center" wrapText="1"/>
    </xf>
    <xf numFmtId="38" fontId="7" fillId="0" borderId="42" xfId="51" applyFont="1" applyFill="1" applyBorder="1" applyAlignment="1">
      <alignment horizontal="distributed" vertical="center" wrapText="1"/>
    </xf>
    <xf numFmtId="38" fontId="7" fillId="0" borderId="46" xfId="51" applyFont="1" applyFill="1" applyBorder="1" applyAlignment="1">
      <alignment horizontal="distributed" vertical="center" wrapText="1"/>
    </xf>
    <xf numFmtId="38" fontId="7" fillId="0" borderId="80" xfId="51" applyFont="1" applyFill="1" applyBorder="1" applyAlignment="1">
      <alignment horizontal="distributed" vertical="center"/>
    </xf>
    <xf numFmtId="38" fontId="7" fillId="0" borderId="61" xfId="51" applyFont="1" applyFill="1" applyBorder="1" applyAlignment="1">
      <alignment horizontal="distributed" vertical="center"/>
    </xf>
    <xf numFmtId="38" fontId="7" fillId="0" borderId="106" xfId="51" applyFont="1" applyFill="1" applyBorder="1" applyAlignment="1">
      <alignment horizontal="center" vertical="center" shrinkToFit="1"/>
    </xf>
    <xf numFmtId="38" fontId="7" fillId="0" borderId="107" xfId="51" applyFont="1" applyFill="1" applyBorder="1" applyAlignment="1">
      <alignment horizontal="center" vertical="center" shrinkToFit="1"/>
    </xf>
    <xf numFmtId="38" fontId="7" fillId="0" borderId="99" xfId="51" applyFont="1" applyFill="1" applyBorder="1" applyAlignment="1">
      <alignment horizontal="center" vertical="center" shrinkToFit="1"/>
    </xf>
    <xf numFmtId="38" fontId="7" fillId="0" borderId="53" xfId="51" applyFont="1" applyFill="1" applyBorder="1" applyAlignment="1">
      <alignment horizontal="center" vertical="center" shrinkToFit="1"/>
    </xf>
    <xf numFmtId="0" fontId="7" fillId="0" borderId="97"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101" xfId="0" applyFont="1" applyFill="1" applyBorder="1" applyAlignment="1">
      <alignment horizontal="center" vertical="distributed" textRotation="255"/>
    </xf>
    <xf numFmtId="0" fontId="7" fillId="0" borderId="79" xfId="0" applyFont="1" applyFill="1" applyBorder="1" applyAlignment="1">
      <alignment horizontal="center" vertical="distributed" textRotation="255"/>
    </xf>
    <xf numFmtId="0" fontId="7" fillId="0" borderId="58" xfId="0" applyFont="1" applyFill="1" applyBorder="1" applyAlignment="1">
      <alignment horizontal="center" vertical="distributed" textRotation="255"/>
    </xf>
    <xf numFmtId="0" fontId="7" fillId="0" borderId="20" xfId="0" applyFont="1" applyFill="1" applyBorder="1" applyAlignment="1">
      <alignment horizontal="center" vertical="distributed" textRotation="255"/>
    </xf>
    <xf numFmtId="0" fontId="7" fillId="0" borderId="34" xfId="0" applyFont="1" applyFill="1" applyBorder="1" applyAlignment="1">
      <alignment horizontal="center" vertical="distributed" textRotation="255"/>
    </xf>
    <xf numFmtId="0" fontId="7" fillId="0" borderId="36" xfId="0" applyFont="1" applyFill="1" applyBorder="1" applyAlignment="1">
      <alignment horizontal="center" vertical="distributed" textRotation="255"/>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7" fillId="0" borderId="47" xfId="0" applyFont="1" applyFill="1" applyBorder="1" applyAlignment="1">
      <alignment horizontal="center" vertical="distributed" textRotation="255"/>
    </xf>
    <xf numFmtId="0" fontId="7" fillId="0" borderId="17" xfId="0" applyFont="1" applyFill="1" applyBorder="1" applyAlignment="1">
      <alignment horizontal="center" vertical="distributed" textRotation="255"/>
    </xf>
    <xf numFmtId="0" fontId="7" fillId="0" borderId="23" xfId="0" applyFont="1" applyFill="1" applyBorder="1" applyAlignment="1">
      <alignment horizontal="center" vertical="distributed" textRotation="255"/>
    </xf>
    <xf numFmtId="0" fontId="7" fillId="0" borderId="73" xfId="0" applyFont="1" applyFill="1" applyBorder="1" applyAlignment="1">
      <alignment horizontal="center" vertical="distributed" textRotation="255" wrapText="1"/>
    </xf>
    <xf numFmtId="0" fontId="7" fillId="0" borderId="107" xfId="0" applyFont="1" applyFill="1" applyBorder="1" applyAlignment="1">
      <alignment horizontal="center" vertical="distributed" textRotation="255" wrapText="1"/>
    </xf>
    <xf numFmtId="0" fontId="7" fillId="0" borderId="72" xfId="0" applyFont="1" applyFill="1" applyBorder="1" applyAlignment="1">
      <alignment horizontal="center" vertical="distributed" textRotation="255" wrapText="1"/>
    </xf>
    <xf numFmtId="0" fontId="7" fillId="0" borderId="79" xfId="0" applyFont="1" applyFill="1" applyBorder="1" applyAlignment="1">
      <alignment horizontal="center" vertical="distributed" textRotation="255" wrapText="1"/>
    </xf>
    <xf numFmtId="0" fontId="7" fillId="0" borderId="106" xfId="0" applyFont="1" applyFill="1" applyBorder="1" applyAlignment="1">
      <alignment horizontal="center" vertical="distributed" textRotation="255" wrapText="1"/>
    </xf>
    <xf numFmtId="0" fontId="7" fillId="0" borderId="101" xfId="0" applyFont="1" applyFill="1" applyBorder="1" applyAlignment="1">
      <alignment horizontal="center" vertical="distributed" textRotation="255" wrapText="1"/>
    </xf>
    <xf numFmtId="0" fontId="7" fillId="0" borderId="106" xfId="0" applyFont="1" applyFill="1" applyBorder="1" applyAlignment="1">
      <alignment horizontal="center" vertical="distributed" textRotation="255" wrapText="1" shrinkToFit="1"/>
    </xf>
    <xf numFmtId="0" fontId="7" fillId="0" borderId="107" xfId="0" applyFont="1" applyFill="1" applyBorder="1" applyAlignment="1">
      <alignment horizontal="center" vertical="distributed" textRotation="255" wrapText="1" shrinkToFit="1"/>
    </xf>
    <xf numFmtId="0" fontId="7" fillId="0" borderId="101" xfId="0" applyFont="1" applyFill="1" applyBorder="1" applyAlignment="1">
      <alignment horizontal="center" vertical="distributed" textRotation="255" wrapText="1" shrinkToFit="1"/>
    </xf>
    <xf numFmtId="0" fontId="7" fillId="0" borderId="79" xfId="0" applyFont="1" applyFill="1" applyBorder="1" applyAlignment="1">
      <alignment horizontal="center" vertical="distributed" textRotation="255" wrapText="1" shrinkToFit="1"/>
    </xf>
    <xf numFmtId="0" fontId="7" fillId="0" borderId="106" xfId="0" applyFont="1" applyFill="1" applyBorder="1" applyAlignment="1">
      <alignment horizontal="center" vertical="distributed" textRotation="255"/>
    </xf>
    <xf numFmtId="0" fontId="7" fillId="0" borderId="107" xfId="0" applyFont="1" applyFill="1" applyBorder="1" applyAlignment="1">
      <alignment horizontal="center" vertical="distributed" textRotation="255"/>
    </xf>
    <xf numFmtId="0" fontId="7" fillId="0" borderId="97" xfId="0" applyFont="1" applyFill="1" applyBorder="1" applyAlignment="1">
      <alignment horizontal="distributed"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2" xfId="0" applyFont="1" applyFill="1" applyBorder="1" applyAlignment="1">
      <alignment horizontal="center" vertical="distributed" textRotation="255"/>
    </xf>
    <xf numFmtId="0" fontId="7" fillId="0" borderId="33" xfId="0" applyFont="1" applyFill="1" applyBorder="1" applyAlignment="1">
      <alignment horizontal="center" vertical="distributed" textRotation="255"/>
    </xf>
    <xf numFmtId="0" fontId="7" fillId="0" borderId="73" xfId="0" applyFont="1" applyFill="1" applyBorder="1" applyAlignment="1">
      <alignment horizontal="center" vertical="distributed" textRotation="255"/>
    </xf>
    <xf numFmtId="0" fontId="7" fillId="0" borderId="107" xfId="0" applyFont="1" applyBorder="1" applyAlignment="1">
      <alignment/>
    </xf>
    <xf numFmtId="0" fontId="7" fillId="0" borderId="72" xfId="0" applyFont="1" applyBorder="1" applyAlignment="1">
      <alignment/>
    </xf>
    <xf numFmtId="0" fontId="7" fillId="0" borderId="79" xfId="0" applyFont="1" applyBorder="1" applyAlignment="1">
      <alignment/>
    </xf>
    <xf numFmtId="0" fontId="7" fillId="0" borderId="68" xfId="0" applyFont="1" applyBorder="1" applyAlignment="1">
      <alignment/>
    </xf>
    <xf numFmtId="0" fontId="7" fillId="0" borderId="53" xfId="0" applyFont="1" applyBorder="1" applyAlignment="1">
      <alignment/>
    </xf>
    <xf numFmtId="0" fontId="7" fillId="0" borderId="106" xfId="0" applyFont="1" applyFill="1" applyBorder="1" applyAlignment="1">
      <alignment horizontal="center" vertical="center" textRotation="255" shrinkToFit="1"/>
    </xf>
    <xf numFmtId="0" fontId="7" fillId="0" borderId="107" xfId="0" applyFont="1" applyFill="1" applyBorder="1" applyAlignment="1">
      <alignment horizontal="center" vertical="center" textRotation="255" shrinkToFit="1"/>
    </xf>
    <xf numFmtId="0" fontId="7" fillId="0" borderId="101" xfId="0" applyFont="1" applyFill="1" applyBorder="1" applyAlignment="1">
      <alignment horizontal="center" vertical="center" textRotation="255" shrinkToFit="1"/>
    </xf>
    <xf numFmtId="0" fontId="7" fillId="0" borderId="79" xfId="0" applyFont="1" applyFill="1" applyBorder="1" applyAlignment="1">
      <alignment horizontal="center" vertical="center" textRotation="255" shrinkToFit="1"/>
    </xf>
    <xf numFmtId="0" fontId="7" fillId="0" borderId="99" xfId="0" applyFont="1" applyFill="1" applyBorder="1" applyAlignment="1">
      <alignment horizontal="center" vertical="center" textRotation="255" shrinkToFit="1"/>
    </xf>
    <xf numFmtId="0" fontId="7" fillId="0" borderId="53" xfId="0" applyFont="1" applyFill="1" applyBorder="1" applyAlignment="1">
      <alignment horizontal="center" vertical="center" textRotation="255" shrinkToFit="1"/>
    </xf>
    <xf numFmtId="0" fontId="7" fillId="0" borderId="105" xfId="0" applyNumberFormat="1" applyFont="1" applyFill="1" applyBorder="1" applyAlignment="1">
      <alignment horizontal="center" vertical="center"/>
    </xf>
    <xf numFmtId="0" fontId="7" fillId="0" borderId="76" xfId="0" applyNumberFormat="1" applyFont="1" applyFill="1" applyBorder="1" applyAlignment="1">
      <alignment horizontal="center" vertical="center"/>
    </xf>
    <xf numFmtId="0" fontId="7" fillId="0" borderId="51" xfId="0" applyNumberFormat="1" applyFont="1" applyFill="1" applyBorder="1" applyAlignment="1">
      <alignment horizontal="center" vertical="center"/>
    </xf>
    <xf numFmtId="0" fontId="7" fillId="0" borderId="103" xfId="0" applyNumberFormat="1" applyFont="1" applyFill="1" applyBorder="1" applyAlignment="1">
      <alignment horizontal="distributed" vertical="center"/>
    </xf>
    <xf numFmtId="0" fontId="7" fillId="0" borderId="11" xfId="0" applyNumberFormat="1" applyFont="1" applyFill="1" applyBorder="1" applyAlignment="1">
      <alignment horizontal="distributed" vertical="center"/>
    </xf>
    <xf numFmtId="0" fontId="7" fillId="0" borderId="57" xfId="0" applyFont="1" applyFill="1" applyBorder="1" applyAlignment="1">
      <alignment horizontal="distributed" vertical="center"/>
    </xf>
    <xf numFmtId="0" fontId="7" fillId="0" borderId="55" xfId="0" applyFont="1" applyFill="1" applyBorder="1" applyAlignment="1">
      <alignment horizontal="distributed" vertical="center"/>
    </xf>
    <xf numFmtId="0" fontId="7" fillId="0" borderId="19" xfId="0" applyFont="1" applyFill="1" applyBorder="1" applyAlignment="1">
      <alignment horizontal="center" vertical="center" shrinkToFit="1"/>
    </xf>
    <xf numFmtId="0" fontId="7" fillId="0" borderId="26"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71" xfId="0" applyFont="1" applyBorder="1" applyAlignment="1">
      <alignment horizontal="center"/>
    </xf>
    <xf numFmtId="0" fontId="6" fillId="0" borderId="75" xfId="0" applyFont="1" applyBorder="1" applyAlignment="1">
      <alignment horizontal="center"/>
    </xf>
    <xf numFmtId="0" fontId="7" fillId="0" borderId="59" xfId="0" applyFont="1" applyFill="1" applyBorder="1" applyAlignment="1">
      <alignment horizontal="distributed" vertical="center"/>
    </xf>
    <xf numFmtId="0" fontId="6" fillId="0" borderId="69"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69" xfId="0" applyFont="1" applyBorder="1" applyAlignment="1">
      <alignment horizontal="center"/>
    </xf>
    <xf numFmtId="0" fontId="6" fillId="0" borderId="82" xfId="0" applyFont="1" applyBorder="1" applyAlignment="1">
      <alignment horizontal="center"/>
    </xf>
    <xf numFmtId="0" fontId="7" fillId="0" borderId="26" xfId="0" applyFont="1" applyFill="1" applyBorder="1" applyAlignment="1">
      <alignment horizontal="distributed" vertical="center" wrapText="1"/>
    </xf>
    <xf numFmtId="0" fontId="7" fillId="0" borderId="26" xfId="0" applyFont="1" applyFill="1" applyBorder="1" applyAlignment="1">
      <alignment horizontal="distributed" vertical="center"/>
    </xf>
    <xf numFmtId="38" fontId="9" fillId="0" borderId="69" xfId="51" applyFont="1" applyBorder="1" applyAlignment="1">
      <alignment horizontal="center" vertical="center"/>
    </xf>
    <xf numFmtId="38" fontId="9" fillId="0" borderId="64" xfId="51" applyFont="1" applyBorder="1" applyAlignment="1">
      <alignment horizontal="center" vertical="center"/>
    </xf>
    <xf numFmtId="38" fontId="9" fillId="0" borderId="82" xfId="51" applyFont="1" applyBorder="1" applyAlignment="1">
      <alignment horizontal="center" vertical="center"/>
    </xf>
    <xf numFmtId="38" fontId="9" fillId="0" borderId="47" xfId="51" applyFont="1" applyBorder="1" applyAlignment="1">
      <alignment horizontal="center" vertical="center"/>
    </xf>
    <xf numFmtId="38" fontId="9" fillId="0" borderId="23" xfId="51" applyFont="1" applyBorder="1" applyAlignment="1">
      <alignment horizontal="center" vertical="center"/>
    </xf>
    <xf numFmtId="38" fontId="9" fillId="0" borderId="47" xfId="51" applyFont="1" applyBorder="1" applyAlignment="1">
      <alignment horizontal="center" vertical="center" wrapText="1"/>
    </xf>
    <xf numFmtId="38" fontId="9" fillId="0" borderId="26" xfId="51" applyFont="1" applyBorder="1" applyAlignment="1">
      <alignment horizontal="center" vertical="center"/>
    </xf>
    <xf numFmtId="38" fontId="9" fillId="0" borderId="26" xfId="51" applyFont="1" applyBorder="1" applyAlignment="1" quotePrefix="1">
      <alignment horizontal="center" vertical="center"/>
    </xf>
    <xf numFmtId="38" fontId="9" fillId="0" borderId="26" xfId="51" applyFont="1" applyFill="1" applyBorder="1" applyAlignment="1">
      <alignment horizontal="center" vertical="center"/>
    </xf>
    <xf numFmtId="38" fontId="9" fillId="0" borderId="27" xfId="51" applyFont="1" applyBorder="1" applyAlignment="1">
      <alignment horizontal="right"/>
    </xf>
    <xf numFmtId="38" fontId="9" fillId="0" borderId="29" xfId="51" applyFont="1" applyBorder="1" applyAlignment="1">
      <alignment horizontal="right"/>
    </xf>
    <xf numFmtId="38" fontId="9" fillId="0" borderId="71" xfId="51" applyFont="1" applyBorder="1" applyAlignment="1">
      <alignment horizontal="right"/>
    </xf>
    <xf numFmtId="38" fontId="9" fillId="0" borderId="75" xfId="51" applyFont="1" applyBorder="1" applyAlignment="1">
      <alignment horizontal="right"/>
    </xf>
    <xf numFmtId="41" fontId="9" fillId="0" borderId="71" xfId="51" applyNumberFormat="1" applyFont="1" applyBorder="1" applyAlignment="1">
      <alignment horizontal="right"/>
    </xf>
    <xf numFmtId="41" fontId="9" fillId="0" borderId="75" xfId="51" applyNumberFormat="1" applyFont="1" applyBorder="1" applyAlignment="1">
      <alignment horizontal="right"/>
    </xf>
    <xf numFmtId="38" fontId="9" fillId="0" borderId="69" xfId="51" applyFont="1" applyBorder="1" applyAlignment="1">
      <alignment horizontal="right"/>
    </xf>
    <xf numFmtId="38" fontId="9" fillId="0" borderId="82" xfId="51" applyFont="1" applyBorder="1" applyAlignment="1">
      <alignment horizontal="right"/>
    </xf>
    <xf numFmtId="38" fontId="9" fillId="0" borderId="73" xfId="51" applyFont="1" applyBorder="1" applyAlignment="1">
      <alignment horizontal="center" vertical="center" shrinkToFit="1"/>
    </xf>
    <xf numFmtId="38" fontId="9" fillId="0" borderId="74" xfId="51" applyFont="1" applyBorder="1" applyAlignment="1">
      <alignment horizontal="center" vertical="center" shrinkToFit="1"/>
    </xf>
    <xf numFmtId="38" fontId="9" fillId="0" borderId="72" xfId="51" applyFont="1" applyBorder="1" applyAlignment="1">
      <alignment horizontal="center" vertical="center" shrinkToFit="1"/>
    </xf>
    <xf numFmtId="38" fontId="9" fillId="0" borderId="33" xfId="51" applyFont="1" applyBorder="1" applyAlignment="1">
      <alignment horizontal="center" vertical="center" shrinkToFit="1"/>
    </xf>
    <xf numFmtId="38" fontId="9" fillId="0" borderId="72" xfId="51" applyFont="1" applyFill="1" applyBorder="1" applyAlignment="1">
      <alignment horizontal="center" vertical="center" shrinkToFit="1"/>
    </xf>
    <xf numFmtId="38" fontId="9" fillId="0" borderId="33" xfId="51" applyFont="1" applyFill="1" applyBorder="1" applyAlignment="1">
      <alignment horizontal="center" vertical="center" shrinkToFit="1"/>
    </xf>
    <xf numFmtId="38" fontId="9" fillId="0" borderId="71" xfId="51" applyFont="1" applyBorder="1" applyAlignment="1">
      <alignment horizontal="center" vertical="center" shrinkToFit="1"/>
    </xf>
    <xf numFmtId="38" fontId="9" fillId="0" borderId="75" xfId="51" applyFont="1" applyBorder="1" applyAlignment="1">
      <alignment horizontal="center" vertical="center" shrinkToFit="1"/>
    </xf>
    <xf numFmtId="38" fontId="9" fillId="0" borderId="71" xfId="51" applyFont="1" applyFill="1" applyBorder="1" applyAlignment="1">
      <alignment horizontal="center" vertical="center" shrinkToFit="1"/>
    </xf>
    <xf numFmtId="38" fontId="9" fillId="0" borderId="75" xfId="51" applyFont="1" applyFill="1" applyBorder="1" applyAlignment="1">
      <alignment horizontal="center" vertical="center" shrinkToFit="1"/>
    </xf>
    <xf numFmtId="38" fontId="9" fillId="0" borderId="73" xfId="51" applyFont="1" applyBorder="1" applyAlignment="1">
      <alignment horizontal="right"/>
    </xf>
    <xf numFmtId="38" fontId="9" fillId="0" borderId="74" xfId="51" applyFont="1" applyBorder="1" applyAlignment="1">
      <alignment horizontal="right"/>
    </xf>
    <xf numFmtId="41" fontId="9" fillId="0" borderId="73" xfId="51" applyNumberFormat="1" applyFont="1" applyBorder="1" applyAlignment="1">
      <alignment horizontal="right"/>
    </xf>
    <xf numFmtId="41" fontId="9" fillId="0" borderId="74" xfId="51" applyNumberFormat="1" applyFont="1" applyBorder="1" applyAlignment="1">
      <alignment horizontal="right"/>
    </xf>
    <xf numFmtId="41" fontId="9" fillId="0" borderId="27" xfId="51" applyNumberFormat="1" applyFont="1" applyBorder="1" applyAlignment="1">
      <alignment horizontal="right"/>
    </xf>
    <xf numFmtId="41" fontId="9" fillId="0" borderId="29" xfId="51" applyNumberFormat="1" applyFont="1" applyBorder="1" applyAlignment="1">
      <alignment horizontal="right"/>
    </xf>
    <xf numFmtId="38" fontId="9" fillId="0" borderId="28" xfId="51" applyFont="1" applyBorder="1" applyAlignment="1">
      <alignment horizontal="right"/>
    </xf>
    <xf numFmtId="38" fontId="9" fillId="0" borderId="30" xfId="51" applyFont="1" applyBorder="1" applyAlignment="1">
      <alignment horizontal="right"/>
    </xf>
    <xf numFmtId="41" fontId="9" fillId="0" borderId="69" xfId="51" applyNumberFormat="1" applyFont="1" applyBorder="1" applyAlignment="1">
      <alignment horizontal="right"/>
    </xf>
    <xf numFmtId="41" fontId="9" fillId="0" borderId="82" xfId="51" applyNumberFormat="1" applyFont="1" applyBorder="1" applyAlignment="1">
      <alignment horizontal="right"/>
    </xf>
    <xf numFmtId="38" fontId="7" fillId="0" borderId="26" xfId="51" applyFont="1" applyBorder="1" applyAlignment="1">
      <alignment horizontal="center" vertical="center" shrinkToFit="1"/>
    </xf>
    <xf numFmtId="38" fontId="7" fillId="0" borderId="26" xfId="51" applyFont="1" applyBorder="1" applyAlignment="1" quotePrefix="1">
      <alignment horizontal="center" vertical="center" shrinkToFit="1"/>
    </xf>
    <xf numFmtId="38" fontId="7" fillId="0" borderId="47" xfId="51" applyFont="1" applyBorder="1" applyAlignment="1">
      <alignment horizontal="center" vertical="center" shrinkToFit="1"/>
    </xf>
    <xf numFmtId="38" fontId="7" fillId="0" borderId="17" xfId="51" applyFont="1" applyBorder="1" applyAlignment="1">
      <alignment horizontal="center" vertical="center" shrinkToFit="1"/>
    </xf>
    <xf numFmtId="38" fontId="7" fillId="0" borderId="23" xfId="51" applyFont="1" applyBorder="1" applyAlignment="1">
      <alignment horizontal="center" vertical="center" shrinkToFit="1"/>
    </xf>
    <xf numFmtId="38" fontId="7" fillId="0" borderId="69" xfId="51" applyFont="1" applyBorder="1" applyAlignment="1">
      <alignment horizontal="center" vertical="center" shrinkToFit="1"/>
    </xf>
    <xf numFmtId="38" fontId="7" fillId="0" borderId="64" xfId="51" applyFont="1" applyBorder="1" applyAlignment="1">
      <alignment horizontal="center" vertical="center" shrinkToFit="1"/>
    </xf>
    <xf numFmtId="38" fontId="7" fillId="0" borderId="82" xfId="51" applyFont="1" applyBorder="1" applyAlignment="1">
      <alignment horizontal="center" vertical="center" shrinkToFit="1"/>
    </xf>
    <xf numFmtId="0" fontId="8" fillId="0" borderId="0" xfId="0" applyFont="1" applyFill="1" applyBorder="1" applyAlignment="1">
      <alignment vertical="center"/>
    </xf>
    <xf numFmtId="0" fontId="7" fillId="0" borderId="0" xfId="0" applyFont="1" applyFill="1" applyBorder="1" applyAlignment="1">
      <alignment vertical="center" wrapText="1"/>
    </xf>
    <xf numFmtId="0" fontId="7" fillId="0" borderId="23" xfId="0" applyFont="1" applyFill="1" applyBorder="1" applyAlignment="1">
      <alignment horizontal="left" vertical="center" wrapText="1"/>
    </xf>
    <xf numFmtId="58" fontId="7" fillId="0" borderId="67" xfId="0" applyNumberFormat="1" applyFont="1" applyFill="1" applyBorder="1" applyAlignment="1">
      <alignment horizontal="left" vertical="center" wrapText="1"/>
    </xf>
    <xf numFmtId="0" fontId="7" fillId="0" borderId="49" xfId="0" applyNumberFormat="1" applyFont="1" applyFill="1" applyBorder="1" applyAlignment="1">
      <alignment horizontal="left" vertical="center" wrapText="1"/>
    </xf>
    <xf numFmtId="0" fontId="7" fillId="0" borderId="67" xfId="0" applyNumberFormat="1" applyFont="1" applyFill="1" applyBorder="1" applyAlignment="1">
      <alignment horizontal="center" vertical="center" wrapText="1"/>
    </xf>
    <xf numFmtId="0" fontId="7" fillId="0" borderId="98" xfId="0" applyNumberFormat="1" applyFont="1" applyFill="1" applyBorder="1" applyAlignment="1">
      <alignment horizontal="center" vertical="center" wrapText="1"/>
    </xf>
    <xf numFmtId="0" fontId="7" fillId="0" borderId="67" xfId="0" applyNumberFormat="1" applyFont="1" applyFill="1" applyBorder="1" applyAlignment="1">
      <alignment horizontal="left" vertical="center" wrapText="1"/>
    </xf>
    <xf numFmtId="0" fontId="7" fillId="0" borderId="98" xfId="0" applyNumberFormat="1" applyFont="1" applyFill="1" applyBorder="1" applyAlignment="1">
      <alignment horizontal="left" vertical="center" wrapText="1"/>
    </xf>
    <xf numFmtId="58" fontId="7" fillId="0" borderId="12" xfId="0" applyNumberFormat="1" applyFont="1" applyFill="1" applyBorder="1" applyAlignment="1">
      <alignment horizontal="left" vertical="center" wrapText="1"/>
    </xf>
    <xf numFmtId="58" fontId="7" fillId="0" borderId="18" xfId="0" applyNumberFormat="1" applyFont="1" applyFill="1" applyBorder="1" applyAlignment="1">
      <alignment horizontal="left" vertical="center" wrapText="1"/>
    </xf>
    <xf numFmtId="0" fontId="7" fillId="0" borderId="0" xfId="0" applyFont="1" applyFill="1" applyBorder="1" applyAlignment="1">
      <alignment horizontal="distributed" vertical="center"/>
    </xf>
    <xf numFmtId="0" fontId="17" fillId="0" borderId="0" xfId="0" applyFont="1" applyFill="1" applyBorder="1" applyAlignment="1">
      <alignment horizontal="distributed" vertical="center"/>
    </xf>
    <xf numFmtId="0" fontId="7" fillId="0" borderId="0" xfId="0" applyFont="1" applyFill="1" applyBorder="1" applyAlignment="1">
      <alignment horizontal="distributed"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6"/>
  <sheetViews>
    <sheetView view="pageBreakPreview" zoomScale="120" zoomScaleNormal="115" zoomScaleSheetLayoutView="120" zoomScalePageLayoutView="0" workbookViewId="0" topLeftCell="A1">
      <selection activeCell="A2" sqref="A2:G3"/>
    </sheetView>
  </sheetViews>
  <sheetFormatPr defaultColWidth="9.00390625" defaultRowHeight="19.5" customHeight="1"/>
  <cols>
    <col min="1" max="1" width="1.625" style="63" customWidth="1"/>
    <col min="2" max="2" width="12.875" style="63" customWidth="1"/>
    <col min="3" max="3" width="20.625" style="63" customWidth="1"/>
    <col min="4" max="4" width="21.375" style="63" customWidth="1"/>
    <col min="5" max="8" width="8.625" style="63" customWidth="1"/>
    <col min="9" max="16384" width="9.00390625" style="63" customWidth="1"/>
  </cols>
  <sheetData>
    <row r="1" spans="1:7" ht="21" customHeight="1">
      <c r="A1" s="536" t="s">
        <v>0</v>
      </c>
      <c r="B1" s="536"/>
      <c r="C1" s="536"/>
      <c r="D1" s="536"/>
      <c r="E1" s="536"/>
      <c r="F1" s="536"/>
      <c r="G1" s="536"/>
    </row>
    <row r="2" spans="1:9" ht="45" customHeight="1">
      <c r="A2" s="537" t="s">
        <v>644</v>
      </c>
      <c r="B2" s="537"/>
      <c r="C2" s="537"/>
      <c r="D2" s="537"/>
      <c r="E2" s="537"/>
      <c r="F2" s="537"/>
      <c r="G2" s="537"/>
      <c r="H2" s="64"/>
      <c r="I2" s="65"/>
    </row>
    <row r="3" spans="1:9" ht="69" customHeight="1">
      <c r="A3" s="537"/>
      <c r="B3" s="537"/>
      <c r="C3" s="537"/>
      <c r="D3" s="537"/>
      <c r="E3" s="537"/>
      <c r="F3" s="537"/>
      <c r="G3" s="537"/>
      <c r="H3" s="64"/>
      <c r="I3" s="65"/>
    </row>
    <row r="4" spans="1:9" ht="7.5" customHeight="1">
      <c r="A4" s="87"/>
      <c r="B4" s="87"/>
      <c r="C4" s="87"/>
      <c r="D4" s="87"/>
      <c r="E4" s="87"/>
      <c r="F4" s="87"/>
      <c r="G4" s="87"/>
      <c r="H4" s="64"/>
      <c r="I4" s="65"/>
    </row>
    <row r="5" spans="1:7" ht="21" customHeight="1">
      <c r="A5" s="538" t="s">
        <v>146</v>
      </c>
      <c r="B5" s="538"/>
      <c r="C5" s="538"/>
      <c r="D5" s="538"/>
      <c r="E5" s="538"/>
      <c r="F5" s="538"/>
      <c r="G5" s="538"/>
    </row>
    <row r="6" spans="1:7" ht="14.25" customHeight="1">
      <c r="A6" s="66"/>
      <c r="B6" s="137" t="s">
        <v>371</v>
      </c>
      <c r="C6" s="66"/>
      <c r="D6" s="66"/>
      <c r="E6" s="180" t="s">
        <v>603</v>
      </c>
      <c r="F6" s="66"/>
      <c r="G6" s="66"/>
    </row>
    <row r="7" spans="2:6" s="67" customFormat="1" ht="19.5" customHeight="1">
      <c r="B7" s="91" t="s">
        <v>5</v>
      </c>
      <c r="C7" s="539" t="s">
        <v>6</v>
      </c>
      <c r="D7" s="540"/>
      <c r="E7" s="541"/>
      <c r="F7" s="68"/>
    </row>
    <row r="8" spans="2:5" s="67" customFormat="1" ht="18" customHeight="1">
      <c r="B8" s="542" t="s">
        <v>583</v>
      </c>
      <c r="C8" s="544" t="s">
        <v>584</v>
      </c>
      <c r="D8" s="545"/>
      <c r="E8" s="546"/>
    </row>
    <row r="9" spans="2:5" s="67" customFormat="1" ht="18" customHeight="1">
      <c r="B9" s="543"/>
      <c r="C9" s="547" t="s">
        <v>7</v>
      </c>
      <c r="D9" s="548"/>
      <c r="E9" s="549"/>
    </row>
    <row r="10" spans="2:5" s="67" customFormat="1" ht="18" customHeight="1">
      <c r="B10" s="543"/>
      <c r="C10" s="550" t="s">
        <v>147</v>
      </c>
      <c r="D10" s="551"/>
      <c r="E10" s="552"/>
    </row>
    <row r="11" spans="2:5" s="67" customFormat="1" ht="18" customHeight="1">
      <c r="B11" s="553" t="s">
        <v>372</v>
      </c>
      <c r="C11" s="556" t="s">
        <v>284</v>
      </c>
      <c r="D11" s="557"/>
      <c r="E11" s="558"/>
    </row>
    <row r="12" spans="2:8" s="67" customFormat="1" ht="18" customHeight="1">
      <c r="B12" s="554"/>
      <c r="C12" s="559" t="s">
        <v>285</v>
      </c>
      <c r="D12" s="560"/>
      <c r="E12" s="561"/>
      <c r="H12" s="68"/>
    </row>
    <row r="13" spans="2:5" s="67" customFormat="1" ht="18" customHeight="1">
      <c r="B13" s="555"/>
      <c r="C13" s="562" t="s">
        <v>286</v>
      </c>
      <c r="D13" s="563"/>
      <c r="E13" s="564"/>
    </row>
    <row r="14" spans="2:5" s="67" customFormat="1" ht="18" customHeight="1">
      <c r="B14" s="565" t="s">
        <v>373</v>
      </c>
      <c r="C14" s="567" t="s">
        <v>406</v>
      </c>
      <c r="D14" s="568"/>
      <c r="E14" s="569"/>
    </row>
    <row r="15" spans="2:9" s="67" customFormat="1" ht="27" customHeight="1">
      <c r="B15" s="566"/>
      <c r="C15" s="570"/>
      <c r="D15" s="571"/>
      <c r="E15" s="572"/>
      <c r="I15" s="68"/>
    </row>
    <row r="16" spans="2:9" s="67" customFormat="1" ht="18" customHeight="1">
      <c r="B16" s="85"/>
      <c r="C16" s="178"/>
      <c r="D16" s="178"/>
      <c r="E16" s="178"/>
      <c r="I16" s="68"/>
    </row>
    <row r="17" spans="2:9" s="67" customFormat="1" ht="18" customHeight="1">
      <c r="B17" s="137" t="s">
        <v>374</v>
      </c>
      <c r="C17" s="179"/>
      <c r="D17" s="179"/>
      <c r="E17" s="179"/>
      <c r="I17" s="68"/>
    </row>
    <row r="18" spans="2:6" s="67" customFormat="1" ht="19.5" customHeight="1">
      <c r="B18" s="573" t="s">
        <v>375</v>
      </c>
      <c r="C18" s="544" t="s">
        <v>376</v>
      </c>
      <c r="D18" s="545"/>
      <c r="E18" s="546"/>
      <c r="F18" s="68"/>
    </row>
    <row r="19" spans="2:6" s="67" customFormat="1" ht="19.5" customHeight="1">
      <c r="B19" s="574"/>
      <c r="C19" s="547" t="s">
        <v>377</v>
      </c>
      <c r="D19" s="548"/>
      <c r="E19" s="549"/>
      <c r="F19" s="68"/>
    </row>
    <row r="20" spans="2:6" s="67" customFormat="1" ht="19.5" customHeight="1">
      <c r="B20" s="575"/>
      <c r="C20" s="547" t="s">
        <v>645</v>
      </c>
      <c r="D20" s="548"/>
      <c r="E20" s="549"/>
      <c r="F20" s="68"/>
    </row>
    <row r="21" spans="2:5" s="67" customFormat="1" ht="18" customHeight="1">
      <c r="B21" s="576" t="s">
        <v>378</v>
      </c>
      <c r="C21" s="544" t="s">
        <v>279</v>
      </c>
      <c r="D21" s="545"/>
      <c r="E21" s="546"/>
    </row>
    <row r="22" spans="2:5" s="67" customFormat="1" ht="18" customHeight="1">
      <c r="B22" s="577"/>
      <c r="C22" s="579" t="s">
        <v>585</v>
      </c>
      <c r="D22" s="580"/>
      <c r="E22" s="581"/>
    </row>
    <row r="23" spans="2:5" s="67" customFormat="1" ht="18" customHeight="1">
      <c r="B23" s="578"/>
      <c r="C23" s="570" t="s">
        <v>280</v>
      </c>
      <c r="D23" s="571"/>
      <c r="E23" s="572"/>
    </row>
    <row r="24" spans="2:5" s="67" customFormat="1" ht="18" customHeight="1">
      <c r="B24" s="582" t="s">
        <v>586</v>
      </c>
      <c r="C24" s="544" t="s">
        <v>281</v>
      </c>
      <c r="D24" s="545"/>
      <c r="E24" s="546"/>
    </row>
    <row r="25" spans="2:5" s="67" customFormat="1" ht="18" customHeight="1">
      <c r="B25" s="583"/>
      <c r="C25" s="547" t="s">
        <v>148</v>
      </c>
      <c r="D25" s="548"/>
      <c r="E25" s="549"/>
    </row>
    <row r="26" spans="2:5" s="67" customFormat="1" ht="18" customHeight="1">
      <c r="B26" s="583"/>
      <c r="C26" s="547" t="s">
        <v>282</v>
      </c>
      <c r="D26" s="548"/>
      <c r="E26" s="549"/>
    </row>
    <row r="27" spans="2:5" s="67" customFormat="1" ht="18" customHeight="1">
      <c r="B27" s="584"/>
      <c r="C27" s="570" t="s">
        <v>283</v>
      </c>
      <c r="D27" s="571"/>
      <c r="E27" s="572"/>
    </row>
    <row r="28" spans="2:5" s="67" customFormat="1" ht="18" customHeight="1">
      <c r="B28" s="138" t="s">
        <v>587</v>
      </c>
      <c r="C28" s="585" t="s">
        <v>181</v>
      </c>
      <c r="D28" s="586"/>
      <c r="E28" s="587"/>
    </row>
    <row r="29" s="67" customFormat="1" ht="18" customHeight="1"/>
    <row r="30" s="67" customFormat="1" ht="18" customHeight="1">
      <c r="B30" s="67" t="s">
        <v>379</v>
      </c>
    </row>
    <row r="31" spans="2:5" s="67" customFormat="1" ht="18" customHeight="1">
      <c r="B31" s="588" t="s">
        <v>378</v>
      </c>
      <c r="C31" s="399" t="s">
        <v>592</v>
      </c>
      <c r="D31" s="400"/>
      <c r="E31" s="401"/>
    </row>
    <row r="32" spans="2:5" s="67" customFormat="1" ht="13.5">
      <c r="B32" s="589"/>
      <c r="C32" s="402" t="s">
        <v>415</v>
      </c>
      <c r="D32" s="398"/>
      <c r="E32" s="403"/>
    </row>
    <row r="33" spans="1:7" ht="19.5" customHeight="1">
      <c r="A33" s="67"/>
      <c r="B33" s="589"/>
      <c r="C33" s="402" t="s">
        <v>380</v>
      </c>
      <c r="D33" s="398"/>
      <c r="E33" s="403"/>
      <c r="F33" s="67"/>
      <c r="G33" s="67"/>
    </row>
    <row r="34" spans="1:7" ht="17.25" customHeight="1">
      <c r="A34" s="67"/>
      <c r="B34" s="589"/>
      <c r="C34" s="402" t="s">
        <v>593</v>
      </c>
      <c r="D34" s="398"/>
      <c r="E34" s="403"/>
      <c r="F34" s="67"/>
      <c r="G34" s="67"/>
    </row>
    <row r="35" spans="2:8" s="67" customFormat="1" ht="19.5" customHeight="1">
      <c r="B35" s="589"/>
      <c r="C35" s="402" t="s">
        <v>409</v>
      </c>
      <c r="D35" s="398"/>
      <c r="E35" s="403"/>
      <c r="H35" s="69"/>
    </row>
    <row r="36" spans="2:8" s="67" customFormat="1" ht="19.5" customHeight="1">
      <c r="B36" s="589"/>
      <c r="C36" s="402" t="s">
        <v>410</v>
      </c>
      <c r="D36" s="404"/>
      <c r="E36" s="405"/>
      <c r="H36" s="591"/>
    </row>
    <row r="37" spans="2:8" s="67" customFormat="1" ht="19.5" customHeight="1">
      <c r="B37" s="589"/>
      <c r="C37" s="402" t="s">
        <v>642</v>
      </c>
      <c r="D37" s="404"/>
      <c r="E37" s="405"/>
      <c r="H37" s="591"/>
    </row>
    <row r="38" spans="2:8" s="67" customFormat="1" ht="19.5" customHeight="1">
      <c r="B38" s="589"/>
      <c r="C38" s="402" t="s">
        <v>594</v>
      </c>
      <c r="D38" s="404"/>
      <c r="E38" s="405"/>
      <c r="H38" s="591"/>
    </row>
    <row r="39" spans="2:8" s="67" customFormat="1" ht="19.5" customHeight="1">
      <c r="B39" s="590"/>
      <c r="C39" s="406" t="s">
        <v>595</v>
      </c>
      <c r="D39" s="407"/>
      <c r="E39" s="408"/>
      <c r="H39" s="591"/>
    </row>
    <row r="40" spans="1:7" ht="19.5" customHeight="1">
      <c r="A40" s="67"/>
      <c r="B40" s="67"/>
      <c r="C40" s="67"/>
      <c r="D40" s="67"/>
      <c r="E40" s="67"/>
      <c r="F40" s="67"/>
      <c r="G40" s="67"/>
    </row>
    <row r="41" spans="1:7" ht="19.5" customHeight="1">
      <c r="A41" s="66" t="s">
        <v>381</v>
      </c>
      <c r="B41" s="66"/>
      <c r="C41" s="66"/>
      <c r="D41" s="66"/>
      <c r="E41" s="66"/>
      <c r="F41" s="66"/>
      <c r="G41" s="66"/>
    </row>
    <row r="42" spans="1:7" s="182" customFormat="1" ht="19.5" customHeight="1">
      <c r="A42" s="397"/>
      <c r="B42" s="592" t="s">
        <v>175</v>
      </c>
      <c r="C42" s="593"/>
      <c r="D42" s="594"/>
      <c r="E42" s="409" t="s">
        <v>331</v>
      </c>
      <c r="F42" s="409" t="s">
        <v>411</v>
      </c>
      <c r="G42" s="409" t="s">
        <v>578</v>
      </c>
    </row>
    <row r="43" spans="1:7" s="182" customFormat="1" ht="15.75" customHeight="1">
      <c r="A43" s="183"/>
      <c r="B43" s="595" t="s">
        <v>191</v>
      </c>
      <c r="C43" s="596"/>
      <c r="D43" s="597"/>
      <c r="E43" s="604">
        <v>2282</v>
      </c>
      <c r="F43" s="604">
        <v>2045</v>
      </c>
      <c r="G43" s="604">
        <v>134</v>
      </c>
    </row>
    <row r="44" spans="1:7" s="182" customFormat="1" ht="15.75" customHeight="1">
      <c r="A44" s="183"/>
      <c r="B44" s="598"/>
      <c r="C44" s="599"/>
      <c r="D44" s="600"/>
      <c r="E44" s="605"/>
      <c r="F44" s="605"/>
      <c r="G44" s="605"/>
    </row>
    <row r="45" spans="1:7" s="182" customFormat="1" ht="15.75" customHeight="1">
      <c r="A45" s="183"/>
      <c r="B45" s="601"/>
      <c r="C45" s="602"/>
      <c r="D45" s="603"/>
      <c r="E45" s="606"/>
      <c r="F45" s="606"/>
      <c r="G45" s="606"/>
    </row>
    <row r="46" spans="1:2" s="182" customFormat="1" ht="19.5" customHeight="1">
      <c r="A46" s="183"/>
      <c r="B46" s="182" t="s">
        <v>596</v>
      </c>
    </row>
  </sheetData>
  <sheetProtection/>
  <mergeCells count="35">
    <mergeCell ref="B31:B39"/>
    <mergeCell ref="H36:H39"/>
    <mergeCell ref="B42:D42"/>
    <mergeCell ref="B43:D45"/>
    <mergeCell ref="E43:E45"/>
    <mergeCell ref="F43:F45"/>
    <mergeCell ref="G43:G45"/>
    <mergeCell ref="B24:B27"/>
    <mergeCell ref="C24:E24"/>
    <mergeCell ref="C25:E25"/>
    <mergeCell ref="C26:E26"/>
    <mergeCell ref="C27:E27"/>
    <mergeCell ref="C28:E28"/>
    <mergeCell ref="B18:B20"/>
    <mergeCell ref="C18:E18"/>
    <mergeCell ref="C19:E19"/>
    <mergeCell ref="C20:E20"/>
    <mergeCell ref="B21:B23"/>
    <mergeCell ref="C21:E21"/>
    <mergeCell ref="C22:E22"/>
    <mergeCell ref="C23:E23"/>
    <mergeCell ref="B11:B13"/>
    <mergeCell ref="C11:E11"/>
    <mergeCell ref="C12:E12"/>
    <mergeCell ref="C13:E13"/>
    <mergeCell ref="B14:B15"/>
    <mergeCell ref="C14:E15"/>
    <mergeCell ref="A1:G1"/>
    <mergeCell ref="A2:G3"/>
    <mergeCell ref="A5:G5"/>
    <mergeCell ref="C7:E7"/>
    <mergeCell ref="B8:B10"/>
    <mergeCell ref="C8:E8"/>
    <mergeCell ref="C9:E9"/>
    <mergeCell ref="C10:E10"/>
  </mergeCells>
  <printOptions/>
  <pageMargins left="0.7086614173228347" right="0.7086614173228347" top="0.7480314960629921" bottom="0.7480314960629921" header="0.31496062992125984" footer="0.31496062992125984"/>
  <pageSetup firstPageNumber="72" useFirstPageNumber="1" horizontalDpi="600" verticalDpi="600" orientation="portrait" paperSize="9" scale="76"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G22"/>
  <sheetViews>
    <sheetView showGridLines="0" view="pageBreakPreview" zoomScaleNormal="115" zoomScaleSheetLayoutView="100" zoomScalePageLayoutView="0" workbookViewId="0" topLeftCell="H5">
      <selection activeCell="G9" sqref="G9"/>
    </sheetView>
  </sheetViews>
  <sheetFormatPr defaultColWidth="9.00390625" defaultRowHeight="19.5" customHeight="1"/>
  <cols>
    <col min="1" max="1" width="1.625" style="105" customWidth="1"/>
    <col min="2" max="2" width="2.625" style="105" customWidth="1"/>
    <col min="3" max="3" width="9.625" style="105" customWidth="1"/>
    <col min="4" max="4" width="7.125" style="105" customWidth="1"/>
    <col min="5" max="5" width="6.375" style="105" customWidth="1"/>
    <col min="6" max="6" width="7.125" style="105" customWidth="1"/>
    <col min="7" max="7" width="6.125" style="105" customWidth="1"/>
    <col min="8" max="8" width="5.75390625" style="105" customWidth="1"/>
    <col min="9" max="9" width="4.50390625" style="105" customWidth="1"/>
    <col min="10" max="10" width="5.75390625" style="105" customWidth="1"/>
    <col min="11" max="11" width="4.75390625" style="105" customWidth="1"/>
    <col min="12" max="12" width="5.50390625" style="105" customWidth="1"/>
    <col min="13" max="13" width="5.375" style="105" customWidth="1"/>
    <col min="14" max="33" width="5.625" style="105" customWidth="1"/>
    <col min="34" max="34" width="4.125" style="105" customWidth="1"/>
    <col min="35" max="35" width="3.875" style="105" customWidth="1"/>
    <col min="36" max="37" width="4.125" style="105" customWidth="1"/>
    <col min="38" max="16384" width="9.00390625" style="105" customWidth="1"/>
  </cols>
  <sheetData>
    <row r="1" spans="1:15" ht="19.5" customHeight="1">
      <c r="A1" s="873" t="s">
        <v>543</v>
      </c>
      <c r="B1" s="873"/>
      <c r="C1" s="873"/>
      <c r="D1" s="873"/>
      <c r="E1" s="873"/>
      <c r="F1" s="873"/>
      <c r="G1" s="873"/>
      <c r="H1" s="873"/>
      <c r="I1" s="873"/>
      <c r="J1" s="873"/>
      <c r="K1" s="873"/>
      <c r="L1" s="873"/>
      <c r="M1" s="873"/>
      <c r="N1" s="873"/>
      <c r="O1" s="873"/>
    </row>
    <row r="2" spans="2:33" s="106" customFormat="1" ht="13.5">
      <c r="B2" s="939" t="s">
        <v>76</v>
      </c>
      <c r="C2" s="942" t="s">
        <v>74</v>
      </c>
      <c r="D2" s="924" t="s">
        <v>54</v>
      </c>
      <c r="E2" s="921"/>
      <c r="F2" s="921" t="s">
        <v>453</v>
      </c>
      <c r="G2" s="921"/>
      <c r="H2" s="944" t="s">
        <v>55</v>
      </c>
      <c r="I2" s="945"/>
      <c r="J2" s="921" t="s">
        <v>456</v>
      </c>
      <c r="K2" s="921"/>
      <c r="L2" s="921" t="s">
        <v>457</v>
      </c>
      <c r="M2" s="921"/>
      <c r="N2" s="921" t="s">
        <v>461</v>
      </c>
      <c r="O2" s="921"/>
      <c r="P2" s="921"/>
      <c r="Q2" s="921"/>
      <c r="R2" s="921"/>
      <c r="S2" s="921"/>
      <c r="T2" s="921"/>
      <c r="U2" s="921"/>
      <c r="V2" s="921"/>
      <c r="W2" s="921"/>
      <c r="X2" s="921"/>
      <c r="Y2" s="921"/>
      <c r="Z2" s="921"/>
      <c r="AA2" s="921"/>
      <c r="AB2" s="921"/>
      <c r="AC2" s="921"/>
      <c r="AD2" s="921"/>
      <c r="AE2" s="921"/>
      <c r="AF2" s="921"/>
      <c r="AG2" s="925"/>
    </row>
    <row r="3" spans="2:33" s="106" customFormat="1" ht="63" customHeight="1">
      <c r="B3" s="940"/>
      <c r="C3" s="943"/>
      <c r="D3" s="933"/>
      <c r="E3" s="919"/>
      <c r="F3" s="919"/>
      <c r="G3" s="919"/>
      <c r="H3" s="946"/>
      <c r="I3" s="947"/>
      <c r="J3" s="919"/>
      <c r="K3" s="919"/>
      <c r="L3" s="919"/>
      <c r="M3" s="919"/>
      <c r="N3" s="919" t="s">
        <v>101</v>
      </c>
      <c r="O3" s="919"/>
      <c r="P3" s="919" t="s">
        <v>462</v>
      </c>
      <c r="Q3" s="919"/>
      <c r="R3" s="919" t="s">
        <v>102</v>
      </c>
      <c r="S3" s="919"/>
      <c r="T3" s="936" t="s">
        <v>463</v>
      </c>
      <c r="U3" s="936"/>
      <c r="V3" s="937" t="s">
        <v>103</v>
      </c>
      <c r="W3" s="938"/>
      <c r="X3" s="919" t="s">
        <v>464</v>
      </c>
      <c r="Y3" s="919"/>
      <c r="Z3" s="919" t="s">
        <v>104</v>
      </c>
      <c r="AA3" s="919"/>
      <c r="AB3" s="919" t="s">
        <v>83</v>
      </c>
      <c r="AC3" s="919"/>
      <c r="AD3" s="919" t="s">
        <v>75</v>
      </c>
      <c r="AE3" s="919"/>
      <c r="AF3" s="919" t="s">
        <v>100</v>
      </c>
      <c r="AG3" s="926"/>
    </row>
    <row r="4" spans="2:33" s="106" customFormat="1" ht="46.5" customHeight="1">
      <c r="B4" s="941"/>
      <c r="C4" s="918"/>
      <c r="D4" s="114" t="s">
        <v>458</v>
      </c>
      <c r="E4" s="115" t="s">
        <v>459</v>
      </c>
      <c r="F4" s="114" t="s">
        <v>458</v>
      </c>
      <c r="G4" s="115" t="s">
        <v>459</v>
      </c>
      <c r="H4" s="114" t="s">
        <v>458</v>
      </c>
      <c r="I4" s="115" t="s">
        <v>459</v>
      </c>
      <c r="J4" s="114" t="s">
        <v>458</v>
      </c>
      <c r="K4" s="115" t="s">
        <v>459</v>
      </c>
      <c r="L4" s="114" t="s">
        <v>458</v>
      </c>
      <c r="M4" s="115" t="s">
        <v>459</v>
      </c>
      <c r="N4" s="114" t="s">
        <v>458</v>
      </c>
      <c r="O4" s="115" t="s">
        <v>459</v>
      </c>
      <c r="P4" s="115" t="s">
        <v>458</v>
      </c>
      <c r="Q4" s="115" t="s">
        <v>459</v>
      </c>
      <c r="R4" s="115" t="s">
        <v>527</v>
      </c>
      <c r="S4" s="115" t="s">
        <v>459</v>
      </c>
      <c r="T4" s="114" t="s">
        <v>458</v>
      </c>
      <c r="U4" s="115" t="s">
        <v>459</v>
      </c>
      <c r="V4" s="114" t="s">
        <v>458</v>
      </c>
      <c r="W4" s="115" t="s">
        <v>459</v>
      </c>
      <c r="X4" s="114" t="s">
        <v>458</v>
      </c>
      <c r="Y4" s="115" t="s">
        <v>459</v>
      </c>
      <c r="Z4" s="114" t="s">
        <v>458</v>
      </c>
      <c r="AA4" s="115" t="s">
        <v>459</v>
      </c>
      <c r="AB4" s="114" t="s">
        <v>458</v>
      </c>
      <c r="AC4" s="115" t="s">
        <v>459</v>
      </c>
      <c r="AD4" s="114" t="s">
        <v>458</v>
      </c>
      <c r="AE4" s="115" t="s">
        <v>459</v>
      </c>
      <c r="AF4" s="114" t="s">
        <v>458</v>
      </c>
      <c r="AG4" s="116" t="s">
        <v>459</v>
      </c>
    </row>
    <row r="5" spans="2:33" s="106" customFormat="1" ht="18.75" customHeight="1">
      <c r="B5" s="913" t="s">
        <v>70</v>
      </c>
      <c r="C5" s="112" t="s">
        <v>189</v>
      </c>
      <c r="D5" s="461">
        <v>45</v>
      </c>
      <c r="E5" s="274">
        <v>55</v>
      </c>
      <c r="F5" s="274">
        <v>45</v>
      </c>
      <c r="G5" s="274">
        <v>54</v>
      </c>
      <c r="H5" s="274">
        <v>0</v>
      </c>
      <c r="I5" s="274">
        <v>1</v>
      </c>
      <c r="J5" s="274">
        <f>+N5+P5+R5+T5+V5+X5+Z5+AB5+AD5+AF5</f>
        <v>0</v>
      </c>
      <c r="K5" s="274">
        <f>+O5+Q5+S5+U5+W5+Y5+AA5+AC5+AE5+AG5</f>
        <v>0</v>
      </c>
      <c r="L5" s="466">
        <f>IF(H5=0,0,J5/H5*100)</f>
        <v>0</v>
      </c>
      <c r="M5" s="462">
        <f aca="true" t="shared" si="0" ref="M5:M21">IF(I5=0,0,K5/I5*100)</f>
        <v>0</v>
      </c>
      <c r="N5" s="274">
        <v>0</v>
      </c>
      <c r="O5" s="274">
        <v>0</v>
      </c>
      <c r="P5" s="274">
        <v>0</v>
      </c>
      <c r="Q5" s="274">
        <v>0</v>
      </c>
      <c r="R5" s="274">
        <v>0</v>
      </c>
      <c r="S5" s="274">
        <v>0</v>
      </c>
      <c r="T5" s="274">
        <v>0</v>
      </c>
      <c r="U5" s="274">
        <v>0</v>
      </c>
      <c r="V5" s="274">
        <v>0</v>
      </c>
      <c r="W5" s="274">
        <v>0</v>
      </c>
      <c r="X5" s="274">
        <v>0</v>
      </c>
      <c r="Y5" s="274">
        <v>0</v>
      </c>
      <c r="Z5" s="274">
        <v>0</v>
      </c>
      <c r="AA5" s="274">
        <v>0</v>
      </c>
      <c r="AB5" s="274">
        <v>0</v>
      </c>
      <c r="AC5" s="274">
        <v>0</v>
      </c>
      <c r="AD5" s="274">
        <v>0</v>
      </c>
      <c r="AE5" s="274">
        <v>0</v>
      </c>
      <c r="AF5" s="274">
        <v>0</v>
      </c>
      <c r="AG5" s="275">
        <v>0</v>
      </c>
    </row>
    <row r="6" spans="2:33" s="106" customFormat="1" ht="18.75" customHeight="1">
      <c r="B6" s="914"/>
      <c r="C6" s="113" t="s">
        <v>450</v>
      </c>
      <c r="D6" s="467">
        <v>65</v>
      </c>
      <c r="E6" s="276">
        <v>88</v>
      </c>
      <c r="F6" s="276">
        <v>62</v>
      </c>
      <c r="G6" s="276">
        <v>81</v>
      </c>
      <c r="H6" s="276">
        <v>3</v>
      </c>
      <c r="I6" s="276">
        <v>7</v>
      </c>
      <c r="J6" s="276">
        <f aca="true" t="shared" si="1" ref="J6:K11">+N6+P6+R6+T6+V6+X6+Z6+AB6+AD6+AF6</f>
        <v>3</v>
      </c>
      <c r="K6" s="276">
        <f t="shared" si="1"/>
        <v>4</v>
      </c>
      <c r="L6" s="462">
        <f>IF(H6=0,0,J6/H6*100)</f>
        <v>100</v>
      </c>
      <c r="M6" s="462">
        <f t="shared" si="0"/>
        <v>57.14285714285714</v>
      </c>
      <c r="N6" s="276">
        <v>0</v>
      </c>
      <c r="O6" s="276">
        <v>0</v>
      </c>
      <c r="P6" s="276">
        <v>0</v>
      </c>
      <c r="Q6" s="276">
        <v>0</v>
      </c>
      <c r="R6" s="276">
        <v>1</v>
      </c>
      <c r="S6" s="276">
        <v>2</v>
      </c>
      <c r="T6" s="276">
        <v>0</v>
      </c>
      <c r="U6" s="276">
        <v>0</v>
      </c>
      <c r="V6" s="276">
        <v>0</v>
      </c>
      <c r="W6" s="276">
        <v>0</v>
      </c>
      <c r="X6" s="276">
        <v>0</v>
      </c>
      <c r="Y6" s="276">
        <v>0</v>
      </c>
      <c r="Z6" s="276">
        <v>1</v>
      </c>
      <c r="AA6" s="276">
        <v>0</v>
      </c>
      <c r="AB6" s="276">
        <v>0</v>
      </c>
      <c r="AC6" s="276">
        <v>0</v>
      </c>
      <c r="AD6" s="276">
        <v>1</v>
      </c>
      <c r="AE6" s="276">
        <v>2</v>
      </c>
      <c r="AF6" s="276">
        <v>0</v>
      </c>
      <c r="AG6" s="277">
        <v>0</v>
      </c>
    </row>
    <row r="7" spans="2:33" s="106" customFormat="1" ht="18.75" customHeight="1">
      <c r="B7" s="915"/>
      <c r="C7" s="113" t="s">
        <v>451</v>
      </c>
      <c r="D7" s="467">
        <v>98</v>
      </c>
      <c r="E7" s="276">
        <v>61</v>
      </c>
      <c r="F7" s="276">
        <v>92</v>
      </c>
      <c r="G7" s="276">
        <v>57</v>
      </c>
      <c r="H7" s="276">
        <v>6</v>
      </c>
      <c r="I7" s="276">
        <v>4</v>
      </c>
      <c r="J7" s="276">
        <f t="shared" si="1"/>
        <v>3</v>
      </c>
      <c r="K7" s="276">
        <f t="shared" si="1"/>
        <v>0</v>
      </c>
      <c r="L7" s="462">
        <f aca="true" t="shared" si="2" ref="L7:L21">IF(H7=0,0,J7/H7*100)</f>
        <v>50</v>
      </c>
      <c r="M7" s="462">
        <f t="shared" si="0"/>
        <v>0</v>
      </c>
      <c r="N7" s="276">
        <v>0</v>
      </c>
      <c r="O7" s="276">
        <v>0</v>
      </c>
      <c r="P7" s="276">
        <v>0</v>
      </c>
      <c r="Q7" s="276">
        <v>0</v>
      </c>
      <c r="R7" s="276">
        <v>2</v>
      </c>
      <c r="S7" s="276">
        <v>0</v>
      </c>
      <c r="T7" s="276">
        <v>0</v>
      </c>
      <c r="U7" s="276">
        <v>0</v>
      </c>
      <c r="V7" s="276">
        <v>0</v>
      </c>
      <c r="W7" s="276">
        <v>0</v>
      </c>
      <c r="X7" s="276">
        <v>0</v>
      </c>
      <c r="Y7" s="276">
        <v>0</v>
      </c>
      <c r="Z7" s="276">
        <v>0</v>
      </c>
      <c r="AA7" s="276">
        <v>0</v>
      </c>
      <c r="AB7" s="276">
        <v>0</v>
      </c>
      <c r="AC7" s="276">
        <v>0</v>
      </c>
      <c r="AD7" s="276">
        <v>1</v>
      </c>
      <c r="AE7" s="276">
        <v>0</v>
      </c>
      <c r="AF7" s="276">
        <v>0</v>
      </c>
      <c r="AG7" s="277">
        <v>0</v>
      </c>
    </row>
    <row r="8" spans="2:33" s="106" customFormat="1" ht="18.75" customHeight="1">
      <c r="B8" s="915"/>
      <c r="C8" s="113" t="s">
        <v>452</v>
      </c>
      <c r="D8" s="467">
        <v>274</v>
      </c>
      <c r="E8" s="276">
        <v>57</v>
      </c>
      <c r="F8" s="276">
        <v>259</v>
      </c>
      <c r="G8" s="276">
        <v>54</v>
      </c>
      <c r="H8" s="276">
        <v>15</v>
      </c>
      <c r="I8" s="276">
        <v>3</v>
      </c>
      <c r="J8" s="276">
        <f t="shared" si="1"/>
        <v>10</v>
      </c>
      <c r="K8" s="276">
        <f t="shared" si="1"/>
        <v>2</v>
      </c>
      <c r="L8" s="462">
        <f t="shared" si="2"/>
        <v>66.66666666666666</v>
      </c>
      <c r="M8" s="462">
        <f t="shared" si="0"/>
        <v>66.66666666666666</v>
      </c>
      <c r="N8" s="276">
        <v>0</v>
      </c>
      <c r="O8" s="276">
        <v>0</v>
      </c>
      <c r="P8" s="276">
        <v>0</v>
      </c>
      <c r="Q8" s="276">
        <v>0</v>
      </c>
      <c r="R8" s="276">
        <v>4</v>
      </c>
      <c r="S8" s="276">
        <v>0</v>
      </c>
      <c r="T8" s="276">
        <v>3</v>
      </c>
      <c r="U8" s="276">
        <v>1</v>
      </c>
      <c r="V8" s="276">
        <v>0</v>
      </c>
      <c r="W8" s="276">
        <v>0</v>
      </c>
      <c r="X8" s="276">
        <v>0</v>
      </c>
      <c r="Y8" s="276">
        <v>0</v>
      </c>
      <c r="Z8" s="276">
        <v>0</v>
      </c>
      <c r="AA8" s="276">
        <v>1</v>
      </c>
      <c r="AB8" s="276">
        <v>0</v>
      </c>
      <c r="AC8" s="276">
        <v>0</v>
      </c>
      <c r="AD8" s="276">
        <v>3</v>
      </c>
      <c r="AE8" s="276">
        <v>0</v>
      </c>
      <c r="AF8" s="276">
        <v>0</v>
      </c>
      <c r="AG8" s="277">
        <v>0</v>
      </c>
    </row>
    <row r="9" spans="2:33" s="106" customFormat="1" ht="18.75" customHeight="1">
      <c r="B9" s="915"/>
      <c r="C9" s="113" t="s">
        <v>447</v>
      </c>
      <c r="D9" s="467">
        <v>708</v>
      </c>
      <c r="E9" s="276">
        <v>75</v>
      </c>
      <c r="F9" s="276">
        <v>481</v>
      </c>
      <c r="G9" s="276">
        <v>71</v>
      </c>
      <c r="H9" s="276">
        <v>54</v>
      </c>
      <c r="I9" s="276">
        <v>4</v>
      </c>
      <c r="J9" s="276">
        <f t="shared" si="1"/>
        <v>39</v>
      </c>
      <c r="K9" s="276">
        <f t="shared" si="1"/>
        <v>3</v>
      </c>
      <c r="L9" s="462">
        <f t="shared" si="2"/>
        <v>72.22222222222221</v>
      </c>
      <c r="M9" s="462">
        <f t="shared" si="0"/>
        <v>75</v>
      </c>
      <c r="N9" s="276">
        <v>3</v>
      </c>
      <c r="O9" s="276">
        <v>0</v>
      </c>
      <c r="P9" s="276">
        <v>0</v>
      </c>
      <c r="Q9" s="276">
        <v>0</v>
      </c>
      <c r="R9" s="276">
        <v>27</v>
      </c>
      <c r="S9" s="276">
        <v>2</v>
      </c>
      <c r="T9" s="276">
        <v>0</v>
      </c>
      <c r="U9" s="276">
        <v>1</v>
      </c>
      <c r="V9" s="276">
        <v>1</v>
      </c>
      <c r="W9" s="276">
        <v>0</v>
      </c>
      <c r="X9" s="276">
        <v>0</v>
      </c>
      <c r="Y9" s="276">
        <v>0</v>
      </c>
      <c r="Z9" s="276">
        <v>6</v>
      </c>
      <c r="AA9" s="276">
        <v>0</v>
      </c>
      <c r="AB9" s="276">
        <v>1</v>
      </c>
      <c r="AC9" s="276">
        <v>0</v>
      </c>
      <c r="AD9" s="276">
        <v>1</v>
      </c>
      <c r="AE9" s="276">
        <v>0</v>
      </c>
      <c r="AF9" s="276">
        <v>0</v>
      </c>
      <c r="AG9" s="277">
        <v>0</v>
      </c>
    </row>
    <row r="10" spans="2:33" s="106" customFormat="1" ht="18.75" customHeight="1">
      <c r="B10" s="915"/>
      <c r="C10" s="113" t="s">
        <v>448</v>
      </c>
      <c r="D10" s="467">
        <v>2438</v>
      </c>
      <c r="E10" s="276">
        <v>128</v>
      </c>
      <c r="F10" s="276">
        <v>654</v>
      </c>
      <c r="G10" s="276">
        <v>120</v>
      </c>
      <c r="H10" s="276">
        <v>201</v>
      </c>
      <c r="I10" s="276">
        <v>8</v>
      </c>
      <c r="J10" s="276">
        <f t="shared" si="1"/>
        <v>134</v>
      </c>
      <c r="K10" s="276">
        <f t="shared" si="1"/>
        <v>5</v>
      </c>
      <c r="L10" s="462">
        <f t="shared" si="2"/>
        <v>66.66666666666666</v>
      </c>
      <c r="M10" s="462">
        <f t="shared" si="0"/>
        <v>62.5</v>
      </c>
      <c r="N10" s="276">
        <v>2</v>
      </c>
      <c r="O10" s="276">
        <v>0</v>
      </c>
      <c r="P10" s="276">
        <v>0</v>
      </c>
      <c r="Q10" s="276">
        <v>0</v>
      </c>
      <c r="R10" s="276">
        <v>85</v>
      </c>
      <c r="S10" s="276">
        <v>2</v>
      </c>
      <c r="T10" s="276">
        <v>13</v>
      </c>
      <c r="U10" s="276">
        <v>1</v>
      </c>
      <c r="V10" s="276">
        <v>4</v>
      </c>
      <c r="W10" s="276">
        <v>1</v>
      </c>
      <c r="X10" s="276">
        <v>1</v>
      </c>
      <c r="Y10" s="276">
        <v>0</v>
      </c>
      <c r="Z10" s="276">
        <v>14</v>
      </c>
      <c r="AA10" s="276">
        <v>0</v>
      </c>
      <c r="AB10" s="276">
        <v>1</v>
      </c>
      <c r="AC10" s="276">
        <v>0</v>
      </c>
      <c r="AD10" s="276">
        <v>14</v>
      </c>
      <c r="AE10" s="276">
        <v>1</v>
      </c>
      <c r="AF10" s="276">
        <v>0</v>
      </c>
      <c r="AG10" s="277">
        <v>0</v>
      </c>
    </row>
    <row r="11" spans="2:33" s="106" customFormat="1" ht="18.75" customHeight="1">
      <c r="B11" s="915"/>
      <c r="C11" s="113" t="s">
        <v>460</v>
      </c>
      <c r="D11" s="467">
        <v>2250</v>
      </c>
      <c r="E11" s="276">
        <f>136+115+65</f>
        <v>316</v>
      </c>
      <c r="F11" s="276">
        <v>2237</v>
      </c>
      <c r="G11" s="276">
        <f>126+103+60</f>
        <v>289</v>
      </c>
      <c r="H11" s="276">
        <v>206</v>
      </c>
      <c r="I11" s="276">
        <f>10+12+5</f>
        <v>27</v>
      </c>
      <c r="J11" s="276">
        <f t="shared" si="1"/>
        <v>157</v>
      </c>
      <c r="K11" s="276">
        <f t="shared" si="1"/>
        <v>16</v>
      </c>
      <c r="L11" s="462">
        <f t="shared" si="2"/>
        <v>76.2135922330097</v>
      </c>
      <c r="M11" s="462">
        <f t="shared" si="0"/>
        <v>59.25925925925925</v>
      </c>
      <c r="N11" s="276">
        <v>13</v>
      </c>
      <c r="O11" s="276">
        <v>0</v>
      </c>
      <c r="P11" s="276">
        <v>0</v>
      </c>
      <c r="Q11" s="276">
        <v>0</v>
      </c>
      <c r="R11" s="276">
        <v>96</v>
      </c>
      <c r="S11" s="276">
        <f>3+5+3</f>
        <v>11</v>
      </c>
      <c r="T11" s="276">
        <v>8</v>
      </c>
      <c r="U11" s="276">
        <v>0</v>
      </c>
      <c r="V11" s="276">
        <v>11</v>
      </c>
      <c r="W11" s="276">
        <v>2</v>
      </c>
      <c r="X11" s="276">
        <v>1</v>
      </c>
      <c r="Y11" s="276">
        <v>0</v>
      </c>
      <c r="Z11" s="276">
        <v>9</v>
      </c>
      <c r="AA11" s="276">
        <f>1+1</f>
        <v>2</v>
      </c>
      <c r="AB11" s="276">
        <v>4</v>
      </c>
      <c r="AC11" s="276">
        <v>1</v>
      </c>
      <c r="AD11" s="276">
        <v>15</v>
      </c>
      <c r="AE11" s="276">
        <v>0</v>
      </c>
      <c r="AF11" s="276">
        <v>0</v>
      </c>
      <c r="AG11" s="277">
        <v>0</v>
      </c>
    </row>
    <row r="12" spans="2:33" s="106" customFormat="1" ht="18.75" customHeight="1">
      <c r="B12" s="916"/>
      <c r="C12" s="107" t="s">
        <v>71</v>
      </c>
      <c r="D12" s="278">
        <f aca="true" t="shared" si="3" ref="D12:K12">SUM(D5:D11)</f>
        <v>5878</v>
      </c>
      <c r="E12" s="279">
        <f t="shared" si="3"/>
        <v>780</v>
      </c>
      <c r="F12" s="279">
        <f t="shared" si="3"/>
        <v>3830</v>
      </c>
      <c r="G12" s="279">
        <f t="shared" si="3"/>
        <v>726</v>
      </c>
      <c r="H12" s="279">
        <f>SUM(H5:H11)</f>
        <v>485</v>
      </c>
      <c r="I12" s="279">
        <f>SUM(I5:I11)</f>
        <v>54</v>
      </c>
      <c r="J12" s="279">
        <f t="shared" si="3"/>
        <v>346</v>
      </c>
      <c r="K12" s="279">
        <f t="shared" si="3"/>
        <v>30</v>
      </c>
      <c r="L12" s="465">
        <f t="shared" si="2"/>
        <v>71.34020618556701</v>
      </c>
      <c r="M12" s="465">
        <f t="shared" si="0"/>
        <v>55.55555555555556</v>
      </c>
      <c r="N12" s="279">
        <f aca="true" t="shared" si="4" ref="N12:AG12">SUM(N5:N11)</f>
        <v>18</v>
      </c>
      <c r="O12" s="279">
        <f t="shared" si="4"/>
        <v>0</v>
      </c>
      <c r="P12" s="279">
        <f t="shared" si="4"/>
        <v>0</v>
      </c>
      <c r="Q12" s="279">
        <f t="shared" si="4"/>
        <v>0</v>
      </c>
      <c r="R12" s="279">
        <f t="shared" si="4"/>
        <v>215</v>
      </c>
      <c r="S12" s="279">
        <f t="shared" si="4"/>
        <v>17</v>
      </c>
      <c r="T12" s="279">
        <f t="shared" si="4"/>
        <v>24</v>
      </c>
      <c r="U12" s="279">
        <f>SUM(U5:U11)</f>
        <v>3</v>
      </c>
      <c r="V12" s="279">
        <f t="shared" si="4"/>
        <v>16</v>
      </c>
      <c r="W12" s="279">
        <f t="shared" si="4"/>
        <v>3</v>
      </c>
      <c r="X12" s="279">
        <f t="shared" si="4"/>
        <v>2</v>
      </c>
      <c r="Y12" s="279">
        <f t="shared" si="4"/>
        <v>0</v>
      </c>
      <c r="Z12" s="279">
        <f t="shared" si="4"/>
        <v>30</v>
      </c>
      <c r="AA12" s="279">
        <f>SUM(AA5:AA11)</f>
        <v>3</v>
      </c>
      <c r="AB12" s="279">
        <f t="shared" si="4"/>
        <v>6</v>
      </c>
      <c r="AC12" s="279">
        <f>SUM(AC5:AC11)</f>
        <v>1</v>
      </c>
      <c r="AD12" s="279">
        <f t="shared" si="4"/>
        <v>35</v>
      </c>
      <c r="AE12" s="279">
        <f t="shared" si="4"/>
        <v>3</v>
      </c>
      <c r="AF12" s="279">
        <f t="shared" si="4"/>
        <v>0</v>
      </c>
      <c r="AG12" s="280">
        <f t="shared" si="4"/>
        <v>0</v>
      </c>
    </row>
    <row r="13" spans="2:33" s="106" customFormat="1" ht="18.75" customHeight="1">
      <c r="B13" s="913" t="s">
        <v>50</v>
      </c>
      <c r="C13" s="112" t="s">
        <v>189</v>
      </c>
      <c r="D13" s="461">
        <v>245</v>
      </c>
      <c r="E13" s="274">
        <v>381</v>
      </c>
      <c r="F13" s="274">
        <v>234</v>
      </c>
      <c r="G13" s="274">
        <v>368</v>
      </c>
      <c r="H13" s="274">
        <v>11</v>
      </c>
      <c r="I13" s="274">
        <v>13</v>
      </c>
      <c r="J13" s="274">
        <f>+N13+P13+R13+T13+V13+X13+Z13+AB13+AD13+AF13</f>
        <v>7</v>
      </c>
      <c r="K13" s="274">
        <f>+O13+Q13+S13+U13+W13+Y13+AA13+AC13+AE13+AG13</f>
        <v>9</v>
      </c>
      <c r="L13" s="466">
        <f t="shared" si="2"/>
        <v>63.63636363636363</v>
      </c>
      <c r="M13" s="466">
        <f t="shared" si="0"/>
        <v>69.23076923076923</v>
      </c>
      <c r="N13" s="276">
        <v>0</v>
      </c>
      <c r="O13" s="276">
        <v>0</v>
      </c>
      <c r="P13" s="274">
        <v>0</v>
      </c>
      <c r="Q13" s="274">
        <v>0</v>
      </c>
      <c r="R13" s="274">
        <v>2</v>
      </c>
      <c r="S13" s="274">
        <v>2</v>
      </c>
      <c r="T13" s="274">
        <v>1</v>
      </c>
      <c r="U13" s="274">
        <v>0</v>
      </c>
      <c r="V13" s="274">
        <v>0</v>
      </c>
      <c r="W13" s="274">
        <v>0</v>
      </c>
      <c r="X13" s="274">
        <v>0</v>
      </c>
      <c r="Y13" s="274">
        <v>0</v>
      </c>
      <c r="Z13" s="274">
        <v>2</v>
      </c>
      <c r="AA13" s="276">
        <v>1</v>
      </c>
      <c r="AB13" s="274">
        <v>0</v>
      </c>
      <c r="AC13" s="276">
        <v>0</v>
      </c>
      <c r="AD13" s="274">
        <v>2</v>
      </c>
      <c r="AE13" s="274">
        <v>6</v>
      </c>
      <c r="AF13" s="274">
        <v>0</v>
      </c>
      <c r="AG13" s="275">
        <v>0</v>
      </c>
    </row>
    <row r="14" spans="2:33" s="106" customFormat="1" ht="18.75" customHeight="1">
      <c r="B14" s="914"/>
      <c r="C14" s="113" t="s">
        <v>465</v>
      </c>
      <c r="D14" s="467">
        <v>329</v>
      </c>
      <c r="E14" s="276">
        <v>430</v>
      </c>
      <c r="F14" s="276">
        <v>317</v>
      </c>
      <c r="G14" s="276">
        <v>409</v>
      </c>
      <c r="H14" s="276">
        <v>12</v>
      </c>
      <c r="I14" s="276">
        <v>21</v>
      </c>
      <c r="J14" s="276">
        <f aca="true" t="shared" si="5" ref="J14:K19">+N14+P14+R14+T14+V14+X14+Z14+AB14+AD14+AF14</f>
        <v>10</v>
      </c>
      <c r="K14" s="276">
        <f t="shared" si="5"/>
        <v>13</v>
      </c>
      <c r="L14" s="462">
        <f t="shared" si="2"/>
        <v>83.33333333333334</v>
      </c>
      <c r="M14" s="462">
        <f t="shared" si="0"/>
        <v>61.904761904761905</v>
      </c>
      <c r="N14" s="276">
        <v>0</v>
      </c>
      <c r="O14" s="276">
        <v>1</v>
      </c>
      <c r="P14" s="276">
        <v>0</v>
      </c>
      <c r="Q14" s="276">
        <v>0</v>
      </c>
      <c r="R14" s="276">
        <v>6</v>
      </c>
      <c r="S14" s="276">
        <v>1</v>
      </c>
      <c r="T14" s="276">
        <v>0</v>
      </c>
      <c r="U14" s="276">
        <v>0</v>
      </c>
      <c r="V14" s="276">
        <v>0</v>
      </c>
      <c r="W14" s="276">
        <v>0</v>
      </c>
      <c r="X14" s="276">
        <v>0</v>
      </c>
      <c r="Y14" s="276">
        <v>1</v>
      </c>
      <c r="Z14" s="276">
        <v>0</v>
      </c>
      <c r="AA14" s="276">
        <v>2</v>
      </c>
      <c r="AB14" s="276">
        <v>1</v>
      </c>
      <c r="AC14" s="276">
        <v>1</v>
      </c>
      <c r="AD14" s="276">
        <v>3</v>
      </c>
      <c r="AE14" s="276">
        <v>7</v>
      </c>
      <c r="AF14" s="276">
        <v>0</v>
      </c>
      <c r="AG14" s="277">
        <v>0</v>
      </c>
    </row>
    <row r="15" spans="2:33" s="106" customFormat="1" ht="18.75" customHeight="1">
      <c r="B15" s="915"/>
      <c r="C15" s="113" t="s">
        <v>466</v>
      </c>
      <c r="D15" s="467">
        <v>380</v>
      </c>
      <c r="E15" s="276">
        <v>297</v>
      </c>
      <c r="F15" s="276">
        <v>366</v>
      </c>
      <c r="G15" s="276">
        <v>279</v>
      </c>
      <c r="H15" s="276">
        <v>14</v>
      </c>
      <c r="I15" s="276">
        <v>18</v>
      </c>
      <c r="J15" s="276">
        <f t="shared" si="5"/>
        <v>12</v>
      </c>
      <c r="K15" s="276">
        <f t="shared" si="5"/>
        <v>9</v>
      </c>
      <c r="L15" s="462">
        <f t="shared" si="2"/>
        <v>85.71428571428571</v>
      </c>
      <c r="M15" s="462">
        <f t="shared" si="0"/>
        <v>50</v>
      </c>
      <c r="N15" s="276">
        <v>0</v>
      </c>
      <c r="O15" s="276">
        <v>0</v>
      </c>
      <c r="P15" s="276">
        <v>0</v>
      </c>
      <c r="Q15" s="276">
        <v>0</v>
      </c>
      <c r="R15" s="276">
        <v>1</v>
      </c>
      <c r="S15" s="276">
        <v>3</v>
      </c>
      <c r="T15" s="276">
        <v>0</v>
      </c>
      <c r="U15" s="276">
        <v>0</v>
      </c>
      <c r="V15" s="276">
        <v>2</v>
      </c>
      <c r="W15" s="276">
        <v>0</v>
      </c>
      <c r="X15" s="276">
        <v>0</v>
      </c>
      <c r="Y15" s="276">
        <v>0</v>
      </c>
      <c r="Z15" s="276">
        <v>3</v>
      </c>
      <c r="AA15" s="276">
        <v>3</v>
      </c>
      <c r="AB15" s="276">
        <v>2</v>
      </c>
      <c r="AC15" s="276">
        <v>1</v>
      </c>
      <c r="AD15" s="276">
        <v>4</v>
      </c>
      <c r="AE15" s="276">
        <v>2</v>
      </c>
      <c r="AF15" s="276">
        <v>0</v>
      </c>
      <c r="AG15" s="277">
        <v>0</v>
      </c>
    </row>
    <row r="16" spans="2:33" s="106" customFormat="1" ht="18.75" customHeight="1">
      <c r="B16" s="915"/>
      <c r="C16" s="113" t="s">
        <v>467</v>
      </c>
      <c r="D16" s="467">
        <v>969</v>
      </c>
      <c r="E16" s="276">
        <v>299</v>
      </c>
      <c r="F16" s="276">
        <v>933</v>
      </c>
      <c r="G16" s="276">
        <v>283</v>
      </c>
      <c r="H16" s="276">
        <v>36</v>
      </c>
      <c r="I16" s="276">
        <v>16</v>
      </c>
      <c r="J16" s="276">
        <f t="shared" si="5"/>
        <v>28</v>
      </c>
      <c r="K16" s="276">
        <f t="shared" si="5"/>
        <v>7</v>
      </c>
      <c r="L16" s="462">
        <f t="shared" si="2"/>
        <v>77.77777777777779</v>
      </c>
      <c r="M16" s="462">
        <f t="shared" si="0"/>
        <v>43.75</v>
      </c>
      <c r="N16" s="276">
        <v>0</v>
      </c>
      <c r="O16" s="276">
        <v>0</v>
      </c>
      <c r="P16" s="276">
        <v>0</v>
      </c>
      <c r="Q16" s="276">
        <v>0</v>
      </c>
      <c r="R16" s="276">
        <v>6</v>
      </c>
      <c r="S16" s="276">
        <v>1</v>
      </c>
      <c r="T16" s="276">
        <v>4</v>
      </c>
      <c r="U16" s="276">
        <v>1</v>
      </c>
      <c r="V16" s="276">
        <v>3</v>
      </c>
      <c r="W16" s="276">
        <v>0</v>
      </c>
      <c r="X16" s="276">
        <v>0</v>
      </c>
      <c r="Y16" s="276">
        <v>0</v>
      </c>
      <c r="Z16" s="276">
        <v>3</v>
      </c>
      <c r="AA16" s="276">
        <v>1</v>
      </c>
      <c r="AB16" s="276">
        <v>3</v>
      </c>
      <c r="AC16" s="276">
        <v>0</v>
      </c>
      <c r="AD16" s="276">
        <v>9</v>
      </c>
      <c r="AE16" s="276">
        <v>4</v>
      </c>
      <c r="AF16" s="276">
        <v>0</v>
      </c>
      <c r="AG16" s="277">
        <v>0</v>
      </c>
    </row>
    <row r="17" spans="2:33" s="106" customFormat="1" ht="18.75" customHeight="1">
      <c r="B17" s="915"/>
      <c r="C17" s="113" t="s">
        <v>468</v>
      </c>
      <c r="D17" s="467">
        <v>1986</v>
      </c>
      <c r="E17" s="276">
        <v>287</v>
      </c>
      <c r="F17" s="276">
        <v>1901</v>
      </c>
      <c r="G17" s="276">
        <v>274</v>
      </c>
      <c r="H17" s="276">
        <v>85</v>
      </c>
      <c r="I17" s="276">
        <v>13</v>
      </c>
      <c r="J17" s="276">
        <f t="shared" si="5"/>
        <v>64</v>
      </c>
      <c r="K17" s="276">
        <f t="shared" si="5"/>
        <v>8</v>
      </c>
      <c r="L17" s="462">
        <f t="shared" si="2"/>
        <v>75.29411764705883</v>
      </c>
      <c r="M17" s="462">
        <f t="shared" si="0"/>
        <v>61.53846153846154</v>
      </c>
      <c r="N17" s="276">
        <v>1</v>
      </c>
      <c r="O17" s="276">
        <v>1</v>
      </c>
      <c r="P17" s="276">
        <v>1</v>
      </c>
      <c r="Q17" s="276">
        <v>0</v>
      </c>
      <c r="R17" s="276">
        <v>25</v>
      </c>
      <c r="S17" s="276">
        <v>3</v>
      </c>
      <c r="T17" s="276">
        <v>2</v>
      </c>
      <c r="U17" s="276">
        <v>1</v>
      </c>
      <c r="V17" s="276">
        <v>4</v>
      </c>
      <c r="W17" s="276">
        <v>0</v>
      </c>
      <c r="X17" s="276">
        <v>0</v>
      </c>
      <c r="Y17" s="276">
        <v>0</v>
      </c>
      <c r="Z17" s="276">
        <v>10</v>
      </c>
      <c r="AA17" s="276">
        <v>0</v>
      </c>
      <c r="AB17" s="276">
        <v>1</v>
      </c>
      <c r="AC17" s="276">
        <v>0</v>
      </c>
      <c r="AD17" s="276">
        <v>20</v>
      </c>
      <c r="AE17" s="276">
        <v>3</v>
      </c>
      <c r="AF17" s="276">
        <v>0</v>
      </c>
      <c r="AG17" s="277">
        <v>0</v>
      </c>
    </row>
    <row r="18" spans="2:33" s="106" customFormat="1" ht="18.75" customHeight="1">
      <c r="B18" s="915"/>
      <c r="C18" s="113" t="s">
        <v>469</v>
      </c>
      <c r="D18" s="467">
        <v>4244</v>
      </c>
      <c r="E18" s="276">
        <v>303</v>
      </c>
      <c r="F18" s="276">
        <v>4059</v>
      </c>
      <c r="G18" s="276">
        <v>283</v>
      </c>
      <c r="H18" s="276">
        <v>185</v>
      </c>
      <c r="I18" s="276">
        <v>20</v>
      </c>
      <c r="J18" s="276">
        <f t="shared" si="5"/>
        <v>154</v>
      </c>
      <c r="K18" s="276">
        <f t="shared" si="5"/>
        <v>16</v>
      </c>
      <c r="L18" s="462">
        <f t="shared" si="2"/>
        <v>83.24324324324324</v>
      </c>
      <c r="M18" s="462">
        <f t="shared" si="0"/>
        <v>80</v>
      </c>
      <c r="N18" s="276">
        <v>9</v>
      </c>
      <c r="O18" s="276">
        <v>1</v>
      </c>
      <c r="P18" s="276">
        <v>0</v>
      </c>
      <c r="Q18" s="276">
        <v>0</v>
      </c>
      <c r="R18" s="276">
        <v>69</v>
      </c>
      <c r="S18" s="276">
        <v>6</v>
      </c>
      <c r="T18" s="276">
        <v>7</v>
      </c>
      <c r="U18" s="276">
        <v>1</v>
      </c>
      <c r="V18" s="276">
        <v>16</v>
      </c>
      <c r="W18" s="276">
        <v>3</v>
      </c>
      <c r="X18" s="276">
        <v>0</v>
      </c>
      <c r="Y18" s="276">
        <v>0</v>
      </c>
      <c r="Z18" s="276">
        <v>16</v>
      </c>
      <c r="AA18" s="276">
        <v>1</v>
      </c>
      <c r="AB18" s="276">
        <v>2</v>
      </c>
      <c r="AC18" s="276">
        <v>0</v>
      </c>
      <c r="AD18" s="276">
        <v>35</v>
      </c>
      <c r="AE18" s="276">
        <v>4</v>
      </c>
      <c r="AF18" s="276">
        <v>0</v>
      </c>
      <c r="AG18" s="277">
        <v>0</v>
      </c>
    </row>
    <row r="19" spans="2:33" s="106" customFormat="1" ht="18.75" customHeight="1">
      <c r="B19" s="915"/>
      <c r="C19" s="113" t="s">
        <v>470</v>
      </c>
      <c r="D19" s="467">
        <v>3399</v>
      </c>
      <c r="E19" s="276">
        <f>269+135+60</f>
        <v>464</v>
      </c>
      <c r="F19" s="276">
        <v>3197</v>
      </c>
      <c r="G19" s="276">
        <f>253+124+54</f>
        <v>431</v>
      </c>
      <c r="H19" s="276">
        <v>202</v>
      </c>
      <c r="I19" s="276">
        <f>16+11+6</f>
        <v>33</v>
      </c>
      <c r="J19" s="276">
        <f t="shared" si="5"/>
        <v>165</v>
      </c>
      <c r="K19" s="276">
        <f t="shared" si="5"/>
        <v>28</v>
      </c>
      <c r="L19" s="462">
        <f t="shared" si="2"/>
        <v>81.68316831683168</v>
      </c>
      <c r="M19" s="462">
        <f t="shared" si="0"/>
        <v>84.84848484848484</v>
      </c>
      <c r="N19" s="276">
        <v>7</v>
      </c>
      <c r="O19" s="276">
        <v>1</v>
      </c>
      <c r="P19" s="276">
        <v>0</v>
      </c>
      <c r="Q19" s="276">
        <v>0</v>
      </c>
      <c r="R19" s="276">
        <v>76</v>
      </c>
      <c r="S19" s="276">
        <f>6+4+2</f>
        <v>12</v>
      </c>
      <c r="T19" s="276">
        <v>11</v>
      </c>
      <c r="U19" s="276">
        <v>1</v>
      </c>
      <c r="V19" s="276">
        <v>12</v>
      </c>
      <c r="W19" s="276">
        <f>1+2</f>
        <v>3</v>
      </c>
      <c r="X19" s="276">
        <v>0</v>
      </c>
      <c r="Y19" s="276">
        <v>0</v>
      </c>
      <c r="Z19" s="276">
        <v>20</v>
      </c>
      <c r="AA19" s="276">
        <v>1</v>
      </c>
      <c r="AB19" s="276">
        <v>4</v>
      </c>
      <c r="AC19" s="276">
        <v>0</v>
      </c>
      <c r="AD19" s="276">
        <v>35</v>
      </c>
      <c r="AE19" s="276">
        <f>6+2+2</f>
        <v>10</v>
      </c>
      <c r="AF19" s="276">
        <v>0</v>
      </c>
      <c r="AG19" s="277">
        <v>0</v>
      </c>
    </row>
    <row r="20" spans="2:33" s="106" customFormat="1" ht="18.75" customHeight="1">
      <c r="B20" s="916"/>
      <c r="C20" s="107" t="s">
        <v>71</v>
      </c>
      <c r="D20" s="278">
        <f aca="true" t="shared" si="6" ref="D20:K20">SUM(D13:D19)</f>
        <v>11552</v>
      </c>
      <c r="E20" s="279">
        <f t="shared" si="6"/>
        <v>2461</v>
      </c>
      <c r="F20" s="279">
        <f t="shared" si="6"/>
        <v>11007</v>
      </c>
      <c r="G20" s="279">
        <f t="shared" si="6"/>
        <v>2327</v>
      </c>
      <c r="H20" s="279">
        <f t="shared" si="6"/>
        <v>545</v>
      </c>
      <c r="I20" s="279">
        <f t="shared" si="6"/>
        <v>134</v>
      </c>
      <c r="J20" s="279">
        <f>SUM(J13:J19)</f>
        <v>440</v>
      </c>
      <c r="K20" s="279">
        <f t="shared" si="6"/>
        <v>90</v>
      </c>
      <c r="L20" s="465">
        <f t="shared" si="2"/>
        <v>80.73394495412845</v>
      </c>
      <c r="M20" s="465">
        <f t="shared" si="0"/>
        <v>67.16417910447761</v>
      </c>
      <c r="N20" s="279">
        <f>SUM(N13:N19)</f>
        <v>17</v>
      </c>
      <c r="O20" s="279">
        <f aca="true" t="shared" si="7" ref="O20:AG20">SUM(O13:O19)</f>
        <v>4</v>
      </c>
      <c r="P20" s="279">
        <f t="shared" si="7"/>
        <v>1</v>
      </c>
      <c r="Q20" s="279">
        <f t="shared" si="7"/>
        <v>0</v>
      </c>
      <c r="R20" s="279">
        <f t="shared" si="7"/>
        <v>185</v>
      </c>
      <c r="S20" s="279">
        <f t="shared" si="7"/>
        <v>28</v>
      </c>
      <c r="T20" s="279">
        <f t="shared" si="7"/>
        <v>25</v>
      </c>
      <c r="U20" s="279">
        <f t="shared" si="7"/>
        <v>4</v>
      </c>
      <c r="V20" s="279">
        <f t="shared" si="7"/>
        <v>37</v>
      </c>
      <c r="W20" s="279">
        <f t="shared" si="7"/>
        <v>6</v>
      </c>
      <c r="X20" s="279">
        <f t="shared" si="7"/>
        <v>0</v>
      </c>
      <c r="Y20" s="279">
        <f t="shared" si="7"/>
        <v>1</v>
      </c>
      <c r="Z20" s="279">
        <f t="shared" si="7"/>
        <v>54</v>
      </c>
      <c r="AA20" s="279">
        <f t="shared" si="7"/>
        <v>9</v>
      </c>
      <c r="AB20" s="279">
        <f t="shared" si="7"/>
        <v>13</v>
      </c>
      <c r="AC20" s="279">
        <f>SUM(AC13:AC19)</f>
        <v>2</v>
      </c>
      <c r="AD20" s="279">
        <f t="shared" si="7"/>
        <v>108</v>
      </c>
      <c r="AE20" s="279">
        <f>SUM(AE13:AE19)</f>
        <v>36</v>
      </c>
      <c r="AF20" s="279">
        <f t="shared" si="7"/>
        <v>0</v>
      </c>
      <c r="AG20" s="280">
        <f t="shared" si="7"/>
        <v>0</v>
      </c>
    </row>
    <row r="21" spans="2:33" ht="18.75" customHeight="1">
      <c r="B21" s="889" t="s">
        <v>73</v>
      </c>
      <c r="C21" s="890"/>
      <c r="D21" s="286">
        <f aca="true" t="shared" si="8" ref="D21:K21">D12+D20</f>
        <v>17430</v>
      </c>
      <c r="E21" s="286">
        <f t="shared" si="8"/>
        <v>3241</v>
      </c>
      <c r="F21" s="286">
        <f t="shared" si="8"/>
        <v>14837</v>
      </c>
      <c r="G21" s="286">
        <f t="shared" si="8"/>
        <v>3053</v>
      </c>
      <c r="H21" s="286">
        <f>H12+H20</f>
        <v>1030</v>
      </c>
      <c r="I21" s="286">
        <f t="shared" si="8"/>
        <v>188</v>
      </c>
      <c r="J21" s="286">
        <f>J12+J20</f>
        <v>786</v>
      </c>
      <c r="K21" s="286">
        <f t="shared" si="8"/>
        <v>120</v>
      </c>
      <c r="L21" s="468">
        <f t="shared" si="2"/>
        <v>76.31067961165049</v>
      </c>
      <c r="M21" s="468">
        <f t="shared" si="0"/>
        <v>63.829787234042556</v>
      </c>
      <c r="N21" s="286">
        <f>N12+N20</f>
        <v>35</v>
      </c>
      <c r="O21" s="286">
        <f aca="true" t="shared" si="9" ref="O21:AG21">O12+O20</f>
        <v>4</v>
      </c>
      <c r="P21" s="286">
        <f t="shared" si="9"/>
        <v>1</v>
      </c>
      <c r="Q21" s="286">
        <f t="shared" si="9"/>
        <v>0</v>
      </c>
      <c r="R21" s="149">
        <f t="shared" si="9"/>
        <v>400</v>
      </c>
      <c r="S21" s="286">
        <f t="shared" si="9"/>
        <v>45</v>
      </c>
      <c r="T21" s="286">
        <f t="shared" si="9"/>
        <v>49</v>
      </c>
      <c r="U21" s="286">
        <f t="shared" si="9"/>
        <v>7</v>
      </c>
      <c r="V21" s="286">
        <f t="shared" si="9"/>
        <v>53</v>
      </c>
      <c r="W21" s="286">
        <f t="shared" si="9"/>
        <v>9</v>
      </c>
      <c r="X21" s="286">
        <f t="shared" si="9"/>
        <v>2</v>
      </c>
      <c r="Y21" s="286">
        <f t="shared" si="9"/>
        <v>1</v>
      </c>
      <c r="Z21" s="286">
        <f t="shared" si="9"/>
        <v>84</v>
      </c>
      <c r="AA21" s="286">
        <f>AA12+AA20</f>
        <v>12</v>
      </c>
      <c r="AB21" s="286">
        <f t="shared" si="9"/>
        <v>19</v>
      </c>
      <c r="AC21" s="286">
        <f>AC12+AC20</f>
        <v>3</v>
      </c>
      <c r="AD21" s="286">
        <f t="shared" si="9"/>
        <v>143</v>
      </c>
      <c r="AE21" s="286">
        <f>AE12+AE20</f>
        <v>39</v>
      </c>
      <c r="AF21" s="286">
        <f t="shared" si="9"/>
        <v>0</v>
      </c>
      <c r="AG21" s="287">
        <f t="shared" si="9"/>
        <v>0</v>
      </c>
    </row>
    <row r="22" spans="4:14" ht="14.25">
      <c r="D22" s="117"/>
      <c r="E22" s="117"/>
      <c r="F22" s="117"/>
      <c r="G22" s="117"/>
      <c r="H22" s="117"/>
      <c r="I22" s="117"/>
      <c r="J22" s="117"/>
      <c r="K22" s="117"/>
      <c r="L22" s="117"/>
      <c r="M22" s="117"/>
      <c r="N22" s="117"/>
    </row>
    <row r="70" ht="15" customHeight="1"/>
    <row r="71" ht="15" customHeight="1"/>
    <row r="72" ht="15" customHeight="1"/>
    <row r="73" ht="15" customHeight="1"/>
    <row r="74" ht="15" customHeight="1"/>
    <row r="75" ht="15" customHeight="1"/>
  </sheetData>
  <sheetProtection/>
  <mergeCells count="22">
    <mergeCell ref="A1:O1"/>
    <mergeCell ref="B2:B4"/>
    <mergeCell ref="C2:C4"/>
    <mergeCell ref="D2:E3"/>
    <mergeCell ref="F2:G3"/>
    <mergeCell ref="H2:I3"/>
    <mergeCell ref="X3:Y3"/>
    <mergeCell ref="P3:Q3"/>
    <mergeCell ref="Z3:AA3"/>
    <mergeCell ref="R3:S3"/>
    <mergeCell ref="T3:U3"/>
    <mergeCell ref="V3:W3"/>
    <mergeCell ref="B5:B12"/>
    <mergeCell ref="B13:B20"/>
    <mergeCell ref="B21:C21"/>
    <mergeCell ref="N3:O3"/>
    <mergeCell ref="J2:K3"/>
    <mergeCell ref="L2:M3"/>
    <mergeCell ref="N2:AG2"/>
    <mergeCell ref="AB3:AC3"/>
    <mergeCell ref="AD3:AE3"/>
    <mergeCell ref="AF3:AG3"/>
  </mergeCells>
  <printOptions/>
  <pageMargins left="0.1968503937007874" right="0.1968503937007874" top="0.35433070866141736" bottom="0.3937007874015748" header="0.31496062992125984" footer="0.31496062992125984"/>
  <pageSetup firstPageNumber="84" useFirstPageNumber="1" fitToHeight="1" fitToWidth="1" horizontalDpi="600" verticalDpi="600" orientation="landscape" paperSize="9" scale="79" r:id="rId1"/>
  <headerFooter>
    <oddFooter>&amp;C&amp;P</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AD26"/>
  <sheetViews>
    <sheetView showGridLines="0" view="pageBreakPreview" zoomScaleSheetLayoutView="100" zoomScalePageLayoutView="0" workbookViewId="0" topLeftCell="A1">
      <selection activeCell="G9" sqref="G9"/>
    </sheetView>
  </sheetViews>
  <sheetFormatPr defaultColWidth="9.00390625" defaultRowHeight="19.5" customHeight="1"/>
  <cols>
    <col min="1" max="1" width="1.625" style="1" customWidth="1"/>
    <col min="2" max="30" width="5.875" style="1" customWidth="1"/>
    <col min="31" max="50" width="4.625" style="1" customWidth="1"/>
    <col min="51" max="16384" width="9.00390625" style="1" customWidth="1"/>
  </cols>
  <sheetData>
    <row r="1" spans="1:30" ht="19.5" customHeight="1">
      <c r="A1" s="2" t="s">
        <v>544</v>
      </c>
      <c r="B1" s="2"/>
      <c r="C1" s="2"/>
      <c r="D1" s="2"/>
      <c r="E1" s="2"/>
      <c r="F1" s="2"/>
      <c r="G1" s="2"/>
      <c r="H1" s="2"/>
      <c r="I1" s="2"/>
      <c r="J1" s="2"/>
      <c r="K1" s="2"/>
      <c r="L1" s="2"/>
      <c r="M1" s="2"/>
      <c r="N1" s="2"/>
      <c r="O1" s="2"/>
      <c r="P1" s="2"/>
      <c r="Q1" s="2"/>
      <c r="R1" s="2"/>
      <c r="S1" s="2"/>
      <c r="T1" s="2"/>
      <c r="U1" s="2"/>
      <c r="V1" s="2"/>
      <c r="W1" s="2"/>
      <c r="X1" s="2"/>
      <c r="Y1" s="2"/>
      <c r="Z1" s="2"/>
      <c r="AA1" s="2"/>
      <c r="AB1" s="2"/>
      <c r="AC1" s="2"/>
      <c r="AD1" s="25"/>
    </row>
    <row r="2" spans="2:30" s="3" customFormat="1" ht="13.5">
      <c r="B2" s="959" t="s">
        <v>105</v>
      </c>
      <c r="C2" s="980" t="s">
        <v>54</v>
      </c>
      <c r="D2" s="981"/>
      <c r="E2" s="986" t="s">
        <v>106</v>
      </c>
      <c r="F2" s="987"/>
      <c r="G2" s="972" t="s">
        <v>77</v>
      </c>
      <c r="H2" s="973"/>
      <c r="I2" s="972" t="s">
        <v>55</v>
      </c>
      <c r="J2" s="973"/>
      <c r="K2" s="972" t="s">
        <v>79</v>
      </c>
      <c r="L2" s="973"/>
      <c r="M2" s="972" t="s">
        <v>471</v>
      </c>
      <c r="N2" s="973"/>
      <c r="O2" s="883" t="s">
        <v>80</v>
      </c>
      <c r="P2" s="883"/>
      <c r="Q2" s="883"/>
      <c r="R2" s="883"/>
      <c r="S2" s="883"/>
      <c r="T2" s="883"/>
      <c r="U2" s="883"/>
      <c r="V2" s="883"/>
      <c r="W2" s="883"/>
      <c r="X2" s="883"/>
      <c r="Y2" s="883"/>
      <c r="Z2" s="883"/>
      <c r="AA2" s="883"/>
      <c r="AB2" s="974"/>
      <c r="AC2" s="974"/>
      <c r="AD2" s="884"/>
    </row>
    <row r="3" spans="2:30" s="3" customFormat="1" ht="63" customHeight="1">
      <c r="B3" s="960"/>
      <c r="C3" s="982"/>
      <c r="D3" s="983"/>
      <c r="E3" s="988"/>
      <c r="F3" s="989"/>
      <c r="G3" s="951"/>
      <c r="H3" s="952"/>
      <c r="I3" s="951"/>
      <c r="J3" s="952"/>
      <c r="K3" s="951"/>
      <c r="L3" s="952"/>
      <c r="M3" s="951"/>
      <c r="N3" s="952"/>
      <c r="O3" s="955" t="s">
        <v>107</v>
      </c>
      <c r="P3" s="956"/>
      <c r="Q3" s="955" t="s">
        <v>108</v>
      </c>
      <c r="R3" s="956"/>
      <c r="S3" s="975" t="s">
        <v>109</v>
      </c>
      <c r="T3" s="976"/>
      <c r="U3" s="976"/>
      <c r="V3" s="976"/>
      <c r="W3" s="976"/>
      <c r="X3" s="977"/>
      <c r="Y3" s="955" t="s">
        <v>110</v>
      </c>
      <c r="Z3" s="956"/>
      <c r="AA3" s="955" t="s">
        <v>83</v>
      </c>
      <c r="AB3" s="956"/>
      <c r="AC3" s="955" t="s">
        <v>75</v>
      </c>
      <c r="AD3" s="978"/>
    </row>
    <row r="4" spans="2:30" s="3" customFormat="1" ht="96.75" customHeight="1">
      <c r="B4" s="960"/>
      <c r="C4" s="984"/>
      <c r="D4" s="985"/>
      <c r="E4" s="990"/>
      <c r="F4" s="991"/>
      <c r="G4" s="951"/>
      <c r="H4" s="952"/>
      <c r="I4" s="951"/>
      <c r="J4" s="952"/>
      <c r="K4" s="951"/>
      <c r="L4" s="952"/>
      <c r="M4" s="951"/>
      <c r="N4" s="952"/>
      <c r="O4" s="951"/>
      <c r="P4" s="952"/>
      <c r="Q4" s="951"/>
      <c r="R4" s="952"/>
      <c r="S4" s="955" t="s">
        <v>111</v>
      </c>
      <c r="T4" s="956"/>
      <c r="U4" s="955" t="s">
        <v>112</v>
      </c>
      <c r="V4" s="956"/>
      <c r="W4" s="955" t="s">
        <v>113</v>
      </c>
      <c r="X4" s="956"/>
      <c r="Y4" s="951"/>
      <c r="Z4" s="952"/>
      <c r="AA4" s="951"/>
      <c r="AB4" s="952"/>
      <c r="AC4" s="951"/>
      <c r="AD4" s="979"/>
    </row>
    <row r="5" spans="2:30" s="3" customFormat="1" ht="48.75" customHeight="1">
      <c r="B5" s="961"/>
      <c r="C5" s="118" t="s">
        <v>458</v>
      </c>
      <c r="D5" s="119" t="s">
        <v>459</v>
      </c>
      <c r="E5" s="118" t="s">
        <v>458</v>
      </c>
      <c r="F5" s="119" t="s">
        <v>459</v>
      </c>
      <c r="G5" s="118" t="s">
        <v>458</v>
      </c>
      <c r="H5" s="119" t="s">
        <v>459</v>
      </c>
      <c r="I5" s="118" t="s">
        <v>458</v>
      </c>
      <c r="J5" s="119" t="s">
        <v>459</v>
      </c>
      <c r="K5" s="118" t="s">
        <v>458</v>
      </c>
      <c r="L5" s="119" t="s">
        <v>459</v>
      </c>
      <c r="M5" s="118" t="s">
        <v>458</v>
      </c>
      <c r="N5" s="119" t="s">
        <v>459</v>
      </c>
      <c r="O5" s="119" t="s">
        <v>458</v>
      </c>
      <c r="P5" s="119" t="s">
        <v>459</v>
      </c>
      <c r="Q5" s="119" t="s">
        <v>458</v>
      </c>
      <c r="R5" s="119" t="s">
        <v>459</v>
      </c>
      <c r="S5" s="118" t="s">
        <v>458</v>
      </c>
      <c r="T5" s="119" t="s">
        <v>459</v>
      </c>
      <c r="U5" s="118" t="s">
        <v>458</v>
      </c>
      <c r="V5" s="119" t="s">
        <v>459</v>
      </c>
      <c r="W5" s="118" t="s">
        <v>458</v>
      </c>
      <c r="X5" s="119" t="s">
        <v>459</v>
      </c>
      <c r="Y5" s="118" t="s">
        <v>458</v>
      </c>
      <c r="Z5" s="119" t="s">
        <v>459</v>
      </c>
      <c r="AA5" s="118" t="s">
        <v>458</v>
      </c>
      <c r="AB5" s="119" t="s">
        <v>459</v>
      </c>
      <c r="AC5" s="118" t="s">
        <v>458</v>
      </c>
      <c r="AD5" s="120" t="s">
        <v>459</v>
      </c>
    </row>
    <row r="6" spans="2:30" s="37" customFormat="1" ht="19.5" customHeight="1">
      <c r="B6" s="41" t="s">
        <v>472</v>
      </c>
      <c r="C6" s="469">
        <v>356</v>
      </c>
      <c r="D6" s="288">
        <v>60</v>
      </c>
      <c r="E6" s="288">
        <v>323</v>
      </c>
      <c r="F6" s="288">
        <v>53</v>
      </c>
      <c r="G6" s="288">
        <f>9+3</f>
        <v>12</v>
      </c>
      <c r="H6" s="288">
        <f>1</f>
        <v>1</v>
      </c>
      <c r="I6" s="288">
        <f>14+7</f>
        <v>21</v>
      </c>
      <c r="J6" s="288">
        <f>2+4</f>
        <v>6</v>
      </c>
      <c r="K6" s="288">
        <f aca="true" t="shared" si="0" ref="K6:L9">O6+Q6+S6+U6+W6+Y6+AA6+AC6</f>
        <v>17</v>
      </c>
      <c r="L6" s="288">
        <f t="shared" si="0"/>
        <v>4</v>
      </c>
      <c r="M6" s="289">
        <f aca="true" t="shared" si="1" ref="M6:N10">K6/I6*100</f>
        <v>80.95238095238095</v>
      </c>
      <c r="N6" s="289">
        <f t="shared" si="1"/>
        <v>66.66666666666666</v>
      </c>
      <c r="O6" s="288">
        <v>1</v>
      </c>
      <c r="P6" s="288">
        <v>0</v>
      </c>
      <c r="Q6" s="288">
        <v>0</v>
      </c>
      <c r="R6" s="288">
        <v>0</v>
      </c>
      <c r="S6" s="288">
        <v>2</v>
      </c>
      <c r="T6" s="288">
        <v>4</v>
      </c>
      <c r="U6" s="288">
        <v>9</v>
      </c>
      <c r="V6" s="288">
        <v>0</v>
      </c>
      <c r="W6" s="288">
        <v>0</v>
      </c>
      <c r="X6" s="288">
        <v>0</v>
      </c>
      <c r="Y6" s="288">
        <v>1</v>
      </c>
      <c r="Z6" s="288">
        <v>0</v>
      </c>
      <c r="AA6" s="288">
        <v>0</v>
      </c>
      <c r="AB6" s="288">
        <v>0</v>
      </c>
      <c r="AC6" s="288">
        <v>4</v>
      </c>
      <c r="AD6" s="470">
        <v>0</v>
      </c>
    </row>
    <row r="7" spans="2:30" s="37" customFormat="1" ht="19.5" customHeight="1">
      <c r="B7" s="38" t="s">
        <v>447</v>
      </c>
      <c r="C7" s="471">
        <v>416</v>
      </c>
      <c r="D7" s="290">
        <v>90</v>
      </c>
      <c r="E7" s="290">
        <v>352</v>
      </c>
      <c r="F7" s="290">
        <v>72</v>
      </c>
      <c r="G7" s="290">
        <f>17+4</f>
        <v>21</v>
      </c>
      <c r="H7" s="290">
        <f>7+1</f>
        <v>8</v>
      </c>
      <c r="I7" s="290">
        <f>30+12+1</f>
        <v>43</v>
      </c>
      <c r="J7" s="290">
        <f>8+1+1</f>
        <v>10</v>
      </c>
      <c r="K7" s="290">
        <f t="shared" si="0"/>
        <v>34</v>
      </c>
      <c r="L7" s="290">
        <f t="shared" si="0"/>
        <v>1</v>
      </c>
      <c r="M7" s="291">
        <f t="shared" si="1"/>
        <v>79.06976744186046</v>
      </c>
      <c r="N7" s="291">
        <f t="shared" si="1"/>
        <v>10</v>
      </c>
      <c r="O7" s="290">
        <v>4</v>
      </c>
      <c r="P7" s="290">
        <v>0</v>
      </c>
      <c r="Q7" s="290">
        <v>2</v>
      </c>
      <c r="R7" s="290">
        <v>0</v>
      </c>
      <c r="S7" s="290">
        <v>2</v>
      </c>
      <c r="T7" s="290">
        <v>1</v>
      </c>
      <c r="U7" s="290">
        <v>16</v>
      </c>
      <c r="V7" s="290">
        <v>0</v>
      </c>
      <c r="W7" s="290">
        <v>0</v>
      </c>
      <c r="X7" s="290">
        <v>0</v>
      </c>
      <c r="Y7" s="290">
        <v>1</v>
      </c>
      <c r="Z7" s="290">
        <v>0</v>
      </c>
      <c r="AA7" s="290">
        <v>0</v>
      </c>
      <c r="AB7" s="290">
        <v>0</v>
      </c>
      <c r="AC7" s="290">
        <v>9</v>
      </c>
      <c r="AD7" s="472">
        <v>0</v>
      </c>
    </row>
    <row r="8" spans="2:30" s="37" customFormat="1" ht="19.5" customHeight="1">
      <c r="B8" s="38" t="s">
        <v>448</v>
      </c>
      <c r="C8" s="471">
        <v>1812</v>
      </c>
      <c r="D8" s="290">
        <v>138</v>
      </c>
      <c r="E8" s="290">
        <v>1413</v>
      </c>
      <c r="F8" s="290">
        <v>103</v>
      </c>
      <c r="G8" s="290">
        <f>115+29</f>
        <v>144</v>
      </c>
      <c r="H8" s="290">
        <f>9+1</f>
        <v>10</v>
      </c>
      <c r="I8" s="290">
        <f>147+89+19</f>
        <v>255</v>
      </c>
      <c r="J8" s="290">
        <f>15+9+1</f>
        <v>25</v>
      </c>
      <c r="K8" s="290">
        <f t="shared" si="0"/>
        <v>153</v>
      </c>
      <c r="L8" s="290">
        <f t="shared" si="0"/>
        <v>5</v>
      </c>
      <c r="M8" s="291">
        <f t="shared" si="1"/>
        <v>60</v>
      </c>
      <c r="N8" s="291">
        <f t="shared" si="1"/>
        <v>20</v>
      </c>
      <c r="O8" s="290">
        <v>23</v>
      </c>
      <c r="P8" s="290">
        <v>0</v>
      </c>
      <c r="Q8" s="290">
        <v>4</v>
      </c>
      <c r="R8" s="290">
        <v>1</v>
      </c>
      <c r="S8" s="290">
        <v>13</v>
      </c>
      <c r="T8" s="290">
        <v>1</v>
      </c>
      <c r="U8" s="290">
        <v>72</v>
      </c>
      <c r="V8" s="290">
        <v>3</v>
      </c>
      <c r="W8" s="290">
        <v>9</v>
      </c>
      <c r="X8" s="290">
        <v>0</v>
      </c>
      <c r="Y8" s="290">
        <v>1</v>
      </c>
      <c r="Z8" s="290">
        <v>0</v>
      </c>
      <c r="AA8" s="290">
        <v>0</v>
      </c>
      <c r="AB8" s="290">
        <v>0</v>
      </c>
      <c r="AC8" s="290">
        <v>31</v>
      </c>
      <c r="AD8" s="472">
        <v>0</v>
      </c>
    </row>
    <row r="9" spans="2:30" s="37" customFormat="1" ht="19.5" customHeight="1">
      <c r="B9" s="39" t="s">
        <v>460</v>
      </c>
      <c r="C9" s="473">
        <f>1706+948</f>
        <v>2654</v>
      </c>
      <c r="D9" s="292">
        <f>170+100+54</f>
        <v>324</v>
      </c>
      <c r="E9" s="292">
        <f>1295+698</f>
        <v>1993</v>
      </c>
      <c r="F9" s="292">
        <f>130+68+35</f>
        <v>233</v>
      </c>
      <c r="G9" s="292">
        <f>146+37+93+35</f>
        <v>311</v>
      </c>
      <c r="H9" s="292">
        <f>16+4+12+2+6+5</f>
        <v>45</v>
      </c>
      <c r="I9" s="292">
        <f>146+71+70+42+12+9</f>
        <v>350</v>
      </c>
      <c r="J9" s="292">
        <f>14+3+3+9+7+2+7+1</f>
        <v>46</v>
      </c>
      <c r="K9" s="292">
        <f t="shared" si="0"/>
        <v>239</v>
      </c>
      <c r="L9" s="292">
        <f t="shared" si="0"/>
        <v>20</v>
      </c>
      <c r="M9" s="293">
        <f t="shared" si="1"/>
        <v>68.28571428571428</v>
      </c>
      <c r="N9" s="293">
        <f t="shared" si="1"/>
        <v>43.47826086956522</v>
      </c>
      <c r="O9" s="292">
        <f>29+10</f>
        <v>39</v>
      </c>
      <c r="P9" s="292">
        <f>1+1</f>
        <v>2</v>
      </c>
      <c r="Q9" s="292">
        <v>9</v>
      </c>
      <c r="R9" s="292">
        <f>1+1</f>
        <v>2</v>
      </c>
      <c r="S9" s="292">
        <f>12+7</f>
        <v>19</v>
      </c>
      <c r="T9" s="292">
        <f>4+1+2</f>
        <v>7</v>
      </c>
      <c r="U9" s="292">
        <f>79+37</f>
        <v>116</v>
      </c>
      <c r="V9" s="292">
        <f>2+2+1</f>
        <v>5</v>
      </c>
      <c r="W9" s="292">
        <f>9+1</f>
        <v>10</v>
      </c>
      <c r="X9" s="292">
        <v>2</v>
      </c>
      <c r="Y9" s="292">
        <f>1+1</f>
        <v>2</v>
      </c>
      <c r="Z9" s="474">
        <v>0</v>
      </c>
      <c r="AA9" s="294">
        <v>1</v>
      </c>
      <c r="AB9" s="292">
        <f>1+1</f>
        <v>2</v>
      </c>
      <c r="AC9" s="292">
        <f>23+20</f>
        <v>43</v>
      </c>
      <c r="AD9" s="475">
        <v>0</v>
      </c>
    </row>
    <row r="10" spans="2:30" s="37" customFormat="1" ht="19.5" customHeight="1">
      <c r="B10" s="40" t="s">
        <v>71</v>
      </c>
      <c r="C10" s="295">
        <f>E10+G10+I10</f>
        <v>5238</v>
      </c>
      <c r="D10" s="296">
        <f>F10+H10+J10</f>
        <v>612</v>
      </c>
      <c r="E10" s="297">
        <f aca="true" t="shared" si="2" ref="E10:L10">SUM(E6:E9)</f>
        <v>4081</v>
      </c>
      <c r="F10" s="297">
        <f t="shared" si="2"/>
        <v>461</v>
      </c>
      <c r="G10" s="298">
        <f t="shared" si="2"/>
        <v>488</v>
      </c>
      <c r="H10" s="296">
        <f t="shared" si="2"/>
        <v>64</v>
      </c>
      <c r="I10" s="297">
        <f t="shared" si="2"/>
        <v>669</v>
      </c>
      <c r="J10" s="297">
        <f t="shared" si="2"/>
        <v>87</v>
      </c>
      <c r="K10" s="297">
        <f t="shared" si="2"/>
        <v>443</v>
      </c>
      <c r="L10" s="297">
        <f t="shared" si="2"/>
        <v>30</v>
      </c>
      <c r="M10" s="299">
        <f t="shared" si="1"/>
        <v>66.21823617339312</v>
      </c>
      <c r="N10" s="299">
        <f t="shared" si="1"/>
        <v>34.48275862068966</v>
      </c>
      <c r="O10" s="298">
        <f>SUM(O6:O9)</f>
        <v>67</v>
      </c>
      <c r="P10" s="294">
        <f aca="true" t="shared" si="3" ref="P10:AD10">SUM(P6:P9)</f>
        <v>2</v>
      </c>
      <c r="Q10" s="294">
        <f>SUM(Q6:Q9)</f>
        <v>15</v>
      </c>
      <c r="R10" s="300">
        <f t="shared" si="3"/>
        <v>3</v>
      </c>
      <c r="S10" s="300">
        <f t="shared" si="3"/>
        <v>36</v>
      </c>
      <c r="T10" s="300">
        <f t="shared" si="3"/>
        <v>13</v>
      </c>
      <c r="U10" s="300">
        <f t="shared" si="3"/>
        <v>213</v>
      </c>
      <c r="V10" s="300">
        <f t="shared" si="3"/>
        <v>8</v>
      </c>
      <c r="W10" s="300">
        <f t="shared" si="3"/>
        <v>19</v>
      </c>
      <c r="X10" s="300">
        <f t="shared" si="3"/>
        <v>2</v>
      </c>
      <c r="Y10" s="300">
        <f t="shared" si="3"/>
        <v>5</v>
      </c>
      <c r="Z10" s="298">
        <f t="shared" si="3"/>
        <v>0</v>
      </c>
      <c r="AA10" s="300">
        <f t="shared" si="3"/>
        <v>1</v>
      </c>
      <c r="AB10" s="300">
        <f t="shared" si="3"/>
        <v>2</v>
      </c>
      <c r="AC10" s="300">
        <f t="shared" si="3"/>
        <v>87</v>
      </c>
      <c r="AD10" s="301">
        <f t="shared" si="3"/>
        <v>0</v>
      </c>
    </row>
    <row r="11" spans="1:30" ht="19.5" customHeight="1">
      <c r="A11" s="957" t="s">
        <v>473</v>
      </c>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8"/>
      <c r="AB11" s="958"/>
      <c r="AC11" s="958"/>
      <c r="AD11" s="958"/>
    </row>
    <row r="12" spans="1:30" ht="19.5" customHeight="1">
      <c r="A12" s="790" t="s">
        <v>545</v>
      </c>
      <c r="B12" s="790"/>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row>
    <row r="13" spans="2:22" s="3" customFormat="1" ht="19.5" customHeight="1">
      <c r="B13" s="959" t="s">
        <v>474</v>
      </c>
      <c r="C13" s="962" t="s">
        <v>54</v>
      </c>
      <c r="D13" s="963"/>
      <c r="E13" s="966" t="s">
        <v>475</v>
      </c>
      <c r="F13" s="963"/>
      <c r="G13" s="968" t="s">
        <v>114</v>
      </c>
      <c r="H13" s="969"/>
      <c r="I13" s="968" t="s">
        <v>55</v>
      </c>
      <c r="J13" s="969"/>
      <c r="K13" s="968" t="s">
        <v>79</v>
      </c>
      <c r="L13" s="969"/>
      <c r="M13" s="966" t="s">
        <v>471</v>
      </c>
      <c r="N13" s="963"/>
      <c r="O13" s="948" t="s">
        <v>80</v>
      </c>
      <c r="P13" s="949"/>
      <c r="Q13" s="949"/>
      <c r="R13" s="949"/>
      <c r="S13" s="949"/>
      <c r="T13" s="949"/>
      <c r="U13" s="949"/>
      <c r="V13" s="950"/>
    </row>
    <row r="14" spans="2:22" s="3" customFormat="1" ht="63" customHeight="1">
      <c r="B14" s="960"/>
      <c r="C14" s="964"/>
      <c r="D14" s="965"/>
      <c r="E14" s="967"/>
      <c r="F14" s="965"/>
      <c r="G14" s="970"/>
      <c r="H14" s="971"/>
      <c r="I14" s="970"/>
      <c r="J14" s="971"/>
      <c r="K14" s="970"/>
      <c r="L14" s="971"/>
      <c r="M14" s="967"/>
      <c r="N14" s="965"/>
      <c r="O14" s="951" t="s">
        <v>476</v>
      </c>
      <c r="P14" s="952"/>
      <c r="Q14" s="951" t="s">
        <v>115</v>
      </c>
      <c r="R14" s="952"/>
      <c r="S14" s="951" t="s">
        <v>75</v>
      </c>
      <c r="T14" s="952"/>
      <c r="U14" s="953" t="s">
        <v>83</v>
      </c>
      <c r="V14" s="954"/>
    </row>
    <row r="15" spans="2:22" s="3" customFormat="1" ht="48.75" customHeight="1">
      <c r="B15" s="961"/>
      <c r="C15" s="121" t="s">
        <v>458</v>
      </c>
      <c r="D15" s="119" t="s">
        <v>459</v>
      </c>
      <c r="E15" s="118" t="s">
        <v>458</v>
      </c>
      <c r="F15" s="119" t="s">
        <v>459</v>
      </c>
      <c r="G15" s="118" t="s">
        <v>458</v>
      </c>
      <c r="H15" s="119" t="s">
        <v>459</v>
      </c>
      <c r="I15" s="118" t="s">
        <v>458</v>
      </c>
      <c r="J15" s="119" t="s">
        <v>459</v>
      </c>
      <c r="K15" s="118" t="s">
        <v>458</v>
      </c>
      <c r="L15" s="119" t="s">
        <v>459</v>
      </c>
      <c r="M15" s="118" t="s">
        <v>458</v>
      </c>
      <c r="N15" s="119" t="s">
        <v>459</v>
      </c>
      <c r="O15" s="119" t="s">
        <v>458</v>
      </c>
      <c r="P15" s="119" t="s">
        <v>459</v>
      </c>
      <c r="Q15" s="119" t="s">
        <v>458</v>
      </c>
      <c r="R15" s="119" t="s">
        <v>459</v>
      </c>
      <c r="S15" s="118" t="s">
        <v>458</v>
      </c>
      <c r="T15" s="119" t="s">
        <v>459</v>
      </c>
      <c r="U15" s="119" t="s">
        <v>458</v>
      </c>
      <c r="V15" s="120" t="s">
        <v>459</v>
      </c>
    </row>
    <row r="16" spans="2:22" s="3" customFormat="1" ht="19.5" customHeight="1">
      <c r="B16" s="52" t="s">
        <v>157</v>
      </c>
      <c r="C16" s="476">
        <v>0</v>
      </c>
      <c r="D16" s="302">
        <v>29</v>
      </c>
      <c r="E16" s="302">
        <v>0</v>
      </c>
      <c r="F16" s="302">
        <v>21</v>
      </c>
      <c r="G16" s="302">
        <v>0</v>
      </c>
      <c r="H16" s="302">
        <v>8</v>
      </c>
      <c r="I16" s="302">
        <v>0</v>
      </c>
      <c r="J16" s="302">
        <v>0</v>
      </c>
      <c r="K16" s="302">
        <f>+O16+Q16+S16+U16</f>
        <v>0</v>
      </c>
      <c r="L16" s="302">
        <f>+P16+R16+T16+V16</f>
        <v>0</v>
      </c>
      <c r="M16" s="303">
        <f>IF(I16=0,0,K16/I16*100)</f>
        <v>0</v>
      </c>
      <c r="N16" s="303">
        <f aca="true" t="shared" si="4" ref="N16:N25">IF(J16=0,0,L16/J16*100)</f>
        <v>0</v>
      </c>
      <c r="O16" s="302">
        <v>0</v>
      </c>
      <c r="P16" s="302">
        <v>0</v>
      </c>
      <c r="Q16" s="302">
        <v>0</v>
      </c>
      <c r="R16" s="302">
        <v>0</v>
      </c>
      <c r="S16" s="302">
        <v>0</v>
      </c>
      <c r="T16" s="302">
        <v>0</v>
      </c>
      <c r="U16" s="302">
        <v>0</v>
      </c>
      <c r="V16" s="477">
        <v>0</v>
      </c>
    </row>
    <row r="17" spans="2:22" s="3" customFormat="1" ht="19.5" customHeight="1">
      <c r="B17" s="53" t="s">
        <v>158</v>
      </c>
      <c r="C17" s="478">
        <v>0</v>
      </c>
      <c r="D17" s="304">
        <v>63</v>
      </c>
      <c r="E17" s="304">
        <v>0</v>
      </c>
      <c r="F17" s="304">
        <v>54</v>
      </c>
      <c r="G17" s="304">
        <v>0</v>
      </c>
      <c r="H17" s="304">
        <v>9</v>
      </c>
      <c r="I17" s="304">
        <v>0</v>
      </c>
      <c r="J17" s="304">
        <v>0</v>
      </c>
      <c r="K17" s="304">
        <f aca="true" t="shared" si="5" ref="K17:L24">+O17+Q17+S17+U17</f>
        <v>0</v>
      </c>
      <c r="L17" s="304">
        <f t="shared" si="5"/>
        <v>0</v>
      </c>
      <c r="M17" s="455">
        <f>IF(I17=0,0,K17/I17*100)</f>
        <v>0</v>
      </c>
      <c r="N17" s="455">
        <f t="shared" si="4"/>
        <v>0</v>
      </c>
      <c r="O17" s="304">
        <v>0</v>
      </c>
      <c r="P17" s="304">
        <v>0</v>
      </c>
      <c r="Q17" s="304">
        <v>0</v>
      </c>
      <c r="R17" s="304">
        <v>0</v>
      </c>
      <c r="S17" s="305">
        <v>0</v>
      </c>
      <c r="T17" s="304">
        <v>0</v>
      </c>
      <c r="U17" s="305">
        <v>0</v>
      </c>
      <c r="V17" s="479">
        <v>0</v>
      </c>
    </row>
    <row r="18" spans="2:22" s="3" customFormat="1" ht="19.5" customHeight="1">
      <c r="B18" s="53" t="s">
        <v>477</v>
      </c>
      <c r="C18" s="478">
        <v>285</v>
      </c>
      <c r="D18" s="304">
        <v>149</v>
      </c>
      <c r="E18" s="304">
        <v>203</v>
      </c>
      <c r="F18" s="304">
        <v>126</v>
      </c>
      <c r="G18" s="304">
        <v>47</v>
      </c>
      <c r="H18" s="304">
        <v>23</v>
      </c>
      <c r="I18" s="304">
        <v>35</v>
      </c>
      <c r="J18" s="304">
        <v>0</v>
      </c>
      <c r="K18" s="304">
        <f t="shared" si="5"/>
        <v>22</v>
      </c>
      <c r="L18" s="304">
        <f t="shared" si="5"/>
        <v>0</v>
      </c>
      <c r="M18" s="455">
        <f>IF(I18=0,0,K18/I18*100)</f>
        <v>62.857142857142854</v>
      </c>
      <c r="N18" s="455">
        <f t="shared" si="4"/>
        <v>0</v>
      </c>
      <c r="O18" s="304">
        <v>0</v>
      </c>
      <c r="P18" s="304">
        <v>0</v>
      </c>
      <c r="Q18" s="304">
        <v>7</v>
      </c>
      <c r="R18" s="304">
        <v>0</v>
      </c>
      <c r="S18" s="304">
        <v>15</v>
      </c>
      <c r="T18" s="304">
        <v>0</v>
      </c>
      <c r="U18" s="305">
        <v>0</v>
      </c>
      <c r="V18" s="479">
        <v>0</v>
      </c>
    </row>
    <row r="19" spans="2:22" s="3" customFormat="1" ht="19.5" customHeight="1">
      <c r="B19" s="53" t="s">
        <v>116</v>
      </c>
      <c r="C19" s="478">
        <v>379</v>
      </c>
      <c r="D19" s="304">
        <v>114</v>
      </c>
      <c r="E19" s="304">
        <v>277</v>
      </c>
      <c r="F19" s="304">
        <v>95</v>
      </c>
      <c r="G19" s="304">
        <v>66</v>
      </c>
      <c r="H19" s="304">
        <v>19</v>
      </c>
      <c r="I19" s="304">
        <v>36</v>
      </c>
      <c r="J19" s="304">
        <v>0</v>
      </c>
      <c r="K19" s="304">
        <f t="shared" si="5"/>
        <v>25</v>
      </c>
      <c r="L19" s="304">
        <f t="shared" si="5"/>
        <v>0</v>
      </c>
      <c r="M19" s="455">
        <f aca="true" t="shared" si="6" ref="M19:M25">IF(I19=0,0,K19/I19*100)</f>
        <v>69.44444444444444</v>
      </c>
      <c r="N19" s="455">
        <f t="shared" si="4"/>
        <v>0</v>
      </c>
      <c r="O19" s="304">
        <v>3</v>
      </c>
      <c r="P19" s="304">
        <v>0</v>
      </c>
      <c r="Q19" s="304">
        <v>10</v>
      </c>
      <c r="R19" s="304">
        <v>0</v>
      </c>
      <c r="S19" s="304">
        <v>11</v>
      </c>
      <c r="T19" s="304">
        <v>0</v>
      </c>
      <c r="U19" s="305">
        <v>1</v>
      </c>
      <c r="V19" s="479">
        <v>0</v>
      </c>
    </row>
    <row r="20" spans="2:22" s="3" customFormat="1" ht="19.5" customHeight="1">
      <c r="B20" s="53" t="s">
        <v>117</v>
      </c>
      <c r="C20" s="478">
        <v>464</v>
      </c>
      <c r="D20" s="304">
        <v>76</v>
      </c>
      <c r="E20" s="304">
        <v>330</v>
      </c>
      <c r="F20" s="304">
        <v>62</v>
      </c>
      <c r="G20" s="304">
        <v>86</v>
      </c>
      <c r="H20" s="304">
        <v>13</v>
      </c>
      <c r="I20" s="304">
        <f>46+2</f>
        <v>48</v>
      </c>
      <c r="J20" s="304">
        <v>1</v>
      </c>
      <c r="K20" s="304">
        <f t="shared" si="5"/>
        <v>32</v>
      </c>
      <c r="L20" s="304">
        <f t="shared" si="5"/>
        <v>0</v>
      </c>
      <c r="M20" s="455">
        <f t="shared" si="6"/>
        <v>66.66666666666666</v>
      </c>
      <c r="N20" s="455">
        <f t="shared" si="4"/>
        <v>0</v>
      </c>
      <c r="O20" s="304">
        <v>6</v>
      </c>
      <c r="P20" s="304">
        <v>0</v>
      </c>
      <c r="Q20" s="304">
        <v>10</v>
      </c>
      <c r="R20" s="304">
        <v>0</v>
      </c>
      <c r="S20" s="304">
        <v>16</v>
      </c>
      <c r="T20" s="304">
        <v>0</v>
      </c>
      <c r="U20" s="305">
        <v>0</v>
      </c>
      <c r="V20" s="479">
        <v>0</v>
      </c>
    </row>
    <row r="21" spans="2:22" s="3" customFormat="1" ht="19.5" customHeight="1">
      <c r="B21" s="53" t="s">
        <v>118</v>
      </c>
      <c r="C21" s="478">
        <v>467</v>
      </c>
      <c r="D21" s="304">
        <f>SUM(F21+H21+J21)</f>
        <v>0</v>
      </c>
      <c r="E21" s="304">
        <v>263</v>
      </c>
      <c r="F21" s="304">
        <v>0</v>
      </c>
      <c r="G21" s="304">
        <v>112</v>
      </c>
      <c r="H21" s="304">
        <v>0</v>
      </c>
      <c r="I21" s="304">
        <f>88+4</f>
        <v>92</v>
      </c>
      <c r="J21" s="304">
        <v>0</v>
      </c>
      <c r="K21" s="304">
        <f t="shared" si="5"/>
        <v>64</v>
      </c>
      <c r="L21" s="304">
        <f t="shared" si="5"/>
        <v>0</v>
      </c>
      <c r="M21" s="455">
        <f t="shared" si="6"/>
        <v>69.56521739130434</v>
      </c>
      <c r="N21" s="455">
        <f t="shared" si="4"/>
        <v>0</v>
      </c>
      <c r="O21" s="304">
        <v>20</v>
      </c>
      <c r="P21" s="304">
        <v>0</v>
      </c>
      <c r="Q21" s="304">
        <v>24</v>
      </c>
      <c r="R21" s="304">
        <v>0</v>
      </c>
      <c r="S21" s="304">
        <v>18</v>
      </c>
      <c r="T21" s="304">
        <v>0</v>
      </c>
      <c r="U21" s="304">
        <v>2</v>
      </c>
      <c r="V21" s="479">
        <v>0</v>
      </c>
    </row>
    <row r="22" spans="2:22" s="3" customFormat="1" ht="19.5" customHeight="1">
      <c r="B22" s="53" t="s">
        <v>119</v>
      </c>
      <c r="C22" s="478">
        <v>646</v>
      </c>
      <c r="D22" s="304">
        <f>SUM(F22+H22+J22)</f>
        <v>0</v>
      </c>
      <c r="E22" s="304">
        <v>228</v>
      </c>
      <c r="F22" s="304">
        <v>0</v>
      </c>
      <c r="G22" s="304">
        <v>201</v>
      </c>
      <c r="H22" s="304">
        <v>0</v>
      </c>
      <c r="I22" s="304">
        <f>209+8</f>
        <v>217</v>
      </c>
      <c r="J22" s="304">
        <v>0</v>
      </c>
      <c r="K22" s="304">
        <f t="shared" si="5"/>
        <v>141</v>
      </c>
      <c r="L22" s="304">
        <f t="shared" si="5"/>
        <v>0</v>
      </c>
      <c r="M22" s="455">
        <f t="shared" si="6"/>
        <v>64.97695852534562</v>
      </c>
      <c r="N22" s="455">
        <f t="shared" si="4"/>
        <v>0</v>
      </c>
      <c r="O22" s="304">
        <v>56</v>
      </c>
      <c r="P22" s="304">
        <v>0</v>
      </c>
      <c r="Q22" s="304">
        <v>55</v>
      </c>
      <c r="R22" s="304">
        <v>0</v>
      </c>
      <c r="S22" s="304">
        <v>27</v>
      </c>
      <c r="T22" s="304">
        <v>0</v>
      </c>
      <c r="U22" s="304">
        <v>3</v>
      </c>
      <c r="V22" s="479">
        <v>0</v>
      </c>
    </row>
    <row r="23" spans="2:22" s="3" customFormat="1" ht="19.5" customHeight="1">
      <c r="B23" s="53" t="s">
        <v>120</v>
      </c>
      <c r="C23" s="478">
        <v>886</v>
      </c>
      <c r="D23" s="304">
        <f>SUM(F23+H23+J23)</f>
        <v>0</v>
      </c>
      <c r="E23" s="304">
        <v>210</v>
      </c>
      <c r="F23" s="304">
        <v>0</v>
      </c>
      <c r="G23" s="304">
        <v>277</v>
      </c>
      <c r="H23" s="304">
        <v>0</v>
      </c>
      <c r="I23" s="304">
        <f>351+48</f>
        <v>399</v>
      </c>
      <c r="J23" s="304">
        <v>0</v>
      </c>
      <c r="K23" s="304">
        <f t="shared" si="5"/>
        <v>238</v>
      </c>
      <c r="L23" s="304">
        <f t="shared" si="5"/>
        <v>0</v>
      </c>
      <c r="M23" s="455">
        <f t="shared" si="6"/>
        <v>59.64912280701754</v>
      </c>
      <c r="N23" s="455">
        <f t="shared" si="4"/>
        <v>0</v>
      </c>
      <c r="O23" s="304">
        <v>82</v>
      </c>
      <c r="P23" s="304">
        <v>0</v>
      </c>
      <c r="Q23" s="304">
        <v>109</v>
      </c>
      <c r="R23" s="304">
        <v>0</v>
      </c>
      <c r="S23" s="304">
        <v>44</v>
      </c>
      <c r="T23" s="304">
        <v>0</v>
      </c>
      <c r="U23" s="305">
        <v>3</v>
      </c>
      <c r="V23" s="479">
        <v>0</v>
      </c>
    </row>
    <row r="24" spans="2:22" s="3" customFormat="1" ht="19.5" customHeight="1">
      <c r="B24" s="54" t="s">
        <v>121</v>
      </c>
      <c r="C24" s="480">
        <v>1613</v>
      </c>
      <c r="D24" s="306">
        <f>SUM(F24+H24+J24)</f>
        <v>0</v>
      </c>
      <c r="E24" s="306">
        <v>281</v>
      </c>
      <c r="F24" s="306">
        <v>0</v>
      </c>
      <c r="G24" s="306">
        <v>432</v>
      </c>
      <c r="H24" s="306">
        <v>0</v>
      </c>
      <c r="I24" s="306">
        <f>726+174</f>
        <v>900</v>
      </c>
      <c r="J24" s="306">
        <v>0</v>
      </c>
      <c r="K24" s="306">
        <f t="shared" si="5"/>
        <v>509</v>
      </c>
      <c r="L24" s="306">
        <f t="shared" si="5"/>
        <v>0</v>
      </c>
      <c r="M24" s="456">
        <f t="shared" si="6"/>
        <v>56.55555555555556</v>
      </c>
      <c r="N24" s="456">
        <f t="shared" si="4"/>
        <v>0</v>
      </c>
      <c r="O24" s="306">
        <v>189</v>
      </c>
      <c r="P24" s="306">
        <v>0</v>
      </c>
      <c r="Q24" s="306">
        <v>211</v>
      </c>
      <c r="R24" s="306">
        <v>0</v>
      </c>
      <c r="S24" s="306">
        <v>102</v>
      </c>
      <c r="T24" s="306">
        <v>0</v>
      </c>
      <c r="U24" s="306">
        <v>7</v>
      </c>
      <c r="V24" s="307">
        <v>0</v>
      </c>
    </row>
    <row r="25" spans="2:22" s="3" customFormat="1" ht="19.5" customHeight="1">
      <c r="B25" s="55" t="s">
        <v>71</v>
      </c>
      <c r="C25" s="308">
        <f aca="true" t="shared" si="7" ref="C25:I25">SUM(C16:C24)</f>
        <v>4740</v>
      </c>
      <c r="D25" s="308">
        <f t="shared" si="7"/>
        <v>431</v>
      </c>
      <c r="E25" s="309">
        <f t="shared" si="7"/>
        <v>1792</v>
      </c>
      <c r="F25" s="309">
        <f t="shared" si="7"/>
        <v>358</v>
      </c>
      <c r="G25" s="309">
        <f t="shared" si="7"/>
        <v>1221</v>
      </c>
      <c r="H25" s="309">
        <f t="shared" si="7"/>
        <v>72</v>
      </c>
      <c r="I25" s="309">
        <f t="shared" si="7"/>
        <v>1727</v>
      </c>
      <c r="J25" s="309">
        <f aca="true" t="shared" si="8" ref="J25:V25">SUM(J16:J24)</f>
        <v>1</v>
      </c>
      <c r="K25" s="309">
        <f>SUM(K16:K24)</f>
        <v>1031</v>
      </c>
      <c r="L25" s="309">
        <f t="shared" si="8"/>
        <v>0</v>
      </c>
      <c r="M25" s="299">
        <f t="shared" si="6"/>
        <v>59.69889982628837</v>
      </c>
      <c r="N25" s="457">
        <f t="shared" si="4"/>
        <v>0</v>
      </c>
      <c r="O25" s="309">
        <f>SUM(O16:O24)</f>
        <v>356</v>
      </c>
      <c r="P25" s="309">
        <f t="shared" si="8"/>
        <v>0</v>
      </c>
      <c r="Q25" s="309">
        <f>SUM(Q16:Q24)</f>
        <v>426</v>
      </c>
      <c r="R25" s="309">
        <f t="shared" si="8"/>
        <v>0</v>
      </c>
      <c r="S25" s="309">
        <f>SUM(S16:S24)</f>
        <v>233</v>
      </c>
      <c r="T25" s="310">
        <f t="shared" si="8"/>
        <v>0</v>
      </c>
      <c r="U25" s="309">
        <f>SUM(U16:U24)</f>
        <v>16</v>
      </c>
      <c r="V25" s="311">
        <f t="shared" si="8"/>
        <v>0</v>
      </c>
    </row>
    <row r="26" spans="2:26" s="3" customFormat="1" ht="19.5" customHeight="1">
      <c r="B26" s="854" t="s">
        <v>478</v>
      </c>
      <c r="C26" s="854"/>
      <c r="D26" s="854"/>
      <c r="E26" s="854"/>
      <c r="F26" s="854"/>
      <c r="G26" s="854"/>
      <c r="H26" s="854"/>
      <c r="I26" s="854"/>
      <c r="J26" s="854"/>
      <c r="K26" s="854"/>
      <c r="L26" s="854"/>
      <c r="M26" s="854"/>
      <c r="N26" s="854"/>
      <c r="O26" s="854"/>
      <c r="P26" s="854"/>
      <c r="Q26" s="854"/>
      <c r="R26" s="854"/>
      <c r="S26" s="854"/>
      <c r="T26" s="854"/>
      <c r="U26" s="854"/>
      <c r="V26" s="854"/>
      <c r="W26" s="30"/>
      <c r="X26" s="30"/>
      <c r="Y26" s="30"/>
      <c r="Z26" s="30"/>
    </row>
    <row r="27" s="3" customFormat="1" ht="19.5" customHeight="1"/>
    <row r="87" ht="15" customHeight="1"/>
    <row r="88" ht="15" customHeight="1"/>
    <row r="89" ht="15" customHeight="1"/>
    <row r="90" ht="15" customHeight="1"/>
    <row r="91" ht="15" customHeight="1"/>
    <row r="92" ht="15" customHeight="1"/>
  </sheetData>
  <sheetProtection/>
  <mergeCells count="32">
    <mergeCell ref="B2:B5"/>
    <mergeCell ref="C2:D4"/>
    <mergeCell ref="E2:F4"/>
    <mergeCell ref="G2:H4"/>
    <mergeCell ref="I2:J4"/>
    <mergeCell ref="K2:L4"/>
    <mergeCell ref="M2:N4"/>
    <mergeCell ref="O2:AD2"/>
    <mergeCell ref="O3:P4"/>
    <mergeCell ref="Q3:R4"/>
    <mergeCell ref="S3:X3"/>
    <mergeCell ref="Y3:Z4"/>
    <mergeCell ref="AA3:AB4"/>
    <mergeCell ref="AC3:AD4"/>
    <mergeCell ref="S4:T4"/>
    <mergeCell ref="U4:V4"/>
    <mergeCell ref="W4:X4"/>
    <mergeCell ref="A11:AD11"/>
    <mergeCell ref="A12:AD12"/>
    <mergeCell ref="B13:B15"/>
    <mergeCell ref="C13:D14"/>
    <mergeCell ref="E13:F14"/>
    <mergeCell ref="G13:H14"/>
    <mergeCell ref="I13:J14"/>
    <mergeCell ref="K13:L14"/>
    <mergeCell ref="M13:N14"/>
    <mergeCell ref="O13:V13"/>
    <mergeCell ref="O14:P14"/>
    <mergeCell ref="Q14:R14"/>
    <mergeCell ref="S14:T14"/>
    <mergeCell ref="U14:V14"/>
    <mergeCell ref="B26:V26"/>
  </mergeCells>
  <printOptions/>
  <pageMargins left="0.7086614173228347" right="0.7086614173228347" top="0.7480314960629921" bottom="0.7480314960629921" header="0.31496062992125984" footer="0.31496062992125984"/>
  <pageSetup firstPageNumber="85" useFirstPageNumber="1" fitToHeight="1" fitToWidth="1" horizontalDpi="600" verticalDpi="600" orientation="landscape" paperSize="9" scale="73" r:id="rId1"/>
  <headerFooter>
    <oddFooter>&amp;C&amp;P</oddFooter>
  </headerFooter>
  <colBreaks count="1" manualBreakCount="1">
    <brk id="1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Y35"/>
  <sheetViews>
    <sheetView showGridLines="0" view="pageBreakPreview" zoomScaleNormal="115" zoomScaleSheetLayoutView="100" zoomScalePageLayoutView="0" workbookViewId="0" topLeftCell="A1">
      <pane xSplit="3" ySplit="4" topLeftCell="D5" activePane="bottomRight" state="frozen"/>
      <selection pane="topLeft" activeCell="G9" sqref="G9"/>
      <selection pane="topRight" activeCell="G9" sqref="G9"/>
      <selection pane="bottomLeft" activeCell="G9" sqref="G9"/>
      <selection pane="bottomRight" activeCell="G9" sqref="G9"/>
    </sheetView>
  </sheetViews>
  <sheetFormatPr defaultColWidth="9.00390625" defaultRowHeight="19.5" customHeight="1"/>
  <cols>
    <col min="1" max="1" width="1.625" style="1" customWidth="1"/>
    <col min="2" max="2" width="3.50390625" style="1" bestFit="1" customWidth="1"/>
    <col min="3" max="3" width="10.50390625" style="1" bestFit="1" customWidth="1"/>
    <col min="4" max="25" width="7.125" style="1" customWidth="1"/>
    <col min="26" max="39" width="4.625" style="1" customWidth="1"/>
    <col min="40" max="16384" width="9.00390625" style="1" customWidth="1"/>
  </cols>
  <sheetData>
    <row r="1" spans="1:25" ht="19.5" customHeight="1">
      <c r="A1" s="790" t="s">
        <v>546</v>
      </c>
      <c r="B1" s="790"/>
      <c r="C1" s="790"/>
      <c r="D1" s="790"/>
      <c r="E1" s="790"/>
      <c r="F1" s="790"/>
      <c r="G1" s="790"/>
      <c r="H1" s="790"/>
      <c r="I1" s="790"/>
      <c r="J1" s="790"/>
      <c r="K1" s="790"/>
      <c r="L1" s="790"/>
      <c r="M1" s="790"/>
      <c r="N1" s="2"/>
      <c r="O1" s="2"/>
      <c r="P1" s="2"/>
      <c r="Q1" s="2"/>
      <c r="Y1" s="25"/>
    </row>
    <row r="2" spans="2:25" s="3" customFormat="1" ht="13.5">
      <c r="B2" s="894" t="s">
        <v>76</v>
      </c>
      <c r="C2" s="856" t="s">
        <v>74</v>
      </c>
      <c r="D2" s="897" t="s">
        <v>54</v>
      </c>
      <c r="E2" s="883"/>
      <c r="F2" s="883" t="s">
        <v>122</v>
      </c>
      <c r="G2" s="997"/>
      <c r="H2" s="997" t="s">
        <v>55</v>
      </c>
      <c r="I2" s="997"/>
      <c r="J2" s="997" t="s">
        <v>79</v>
      </c>
      <c r="K2" s="997"/>
      <c r="L2" s="997" t="s">
        <v>87</v>
      </c>
      <c r="M2" s="997"/>
      <c r="N2" s="997" t="s">
        <v>80</v>
      </c>
      <c r="O2" s="997"/>
      <c r="P2" s="997"/>
      <c r="Q2" s="997"/>
      <c r="R2" s="997"/>
      <c r="S2" s="997"/>
      <c r="T2" s="997"/>
      <c r="U2" s="997"/>
      <c r="V2" s="997"/>
      <c r="W2" s="997"/>
      <c r="X2" s="997"/>
      <c r="Y2" s="856"/>
    </row>
    <row r="3" spans="2:25" s="3" customFormat="1" ht="63" customHeight="1">
      <c r="B3" s="895"/>
      <c r="C3" s="892"/>
      <c r="D3" s="898"/>
      <c r="E3" s="885"/>
      <c r="F3" s="998"/>
      <c r="G3" s="998"/>
      <c r="H3" s="998"/>
      <c r="I3" s="998"/>
      <c r="J3" s="998"/>
      <c r="K3" s="998"/>
      <c r="L3" s="998"/>
      <c r="M3" s="998"/>
      <c r="N3" s="998" t="s">
        <v>123</v>
      </c>
      <c r="O3" s="998"/>
      <c r="P3" s="998" t="s">
        <v>124</v>
      </c>
      <c r="Q3" s="998"/>
      <c r="R3" s="998" t="s">
        <v>125</v>
      </c>
      <c r="S3" s="998"/>
      <c r="T3" s="998" t="s">
        <v>126</v>
      </c>
      <c r="U3" s="998"/>
      <c r="V3" s="998" t="s">
        <v>83</v>
      </c>
      <c r="W3" s="998"/>
      <c r="X3" s="905" t="s">
        <v>127</v>
      </c>
      <c r="Y3" s="999"/>
    </row>
    <row r="4" spans="2:25" s="3" customFormat="1" ht="26.25" customHeight="1">
      <c r="B4" s="896"/>
      <c r="C4" s="893"/>
      <c r="D4" s="101" t="s">
        <v>57</v>
      </c>
      <c r="E4" s="102" t="s">
        <v>58</v>
      </c>
      <c r="F4" s="102" t="s">
        <v>57</v>
      </c>
      <c r="G4" s="102" t="s">
        <v>58</v>
      </c>
      <c r="H4" s="102" t="s">
        <v>57</v>
      </c>
      <c r="I4" s="102" t="s">
        <v>58</v>
      </c>
      <c r="J4" s="102" t="s">
        <v>57</v>
      </c>
      <c r="K4" s="102" t="s">
        <v>58</v>
      </c>
      <c r="L4" s="102" t="s">
        <v>57</v>
      </c>
      <c r="M4" s="102" t="s">
        <v>58</v>
      </c>
      <c r="N4" s="102" t="s">
        <v>57</v>
      </c>
      <c r="O4" s="102" t="s">
        <v>58</v>
      </c>
      <c r="P4" s="102" t="s">
        <v>57</v>
      </c>
      <c r="Q4" s="102" t="s">
        <v>58</v>
      </c>
      <c r="R4" s="102" t="s">
        <v>57</v>
      </c>
      <c r="S4" s="102" t="s">
        <v>58</v>
      </c>
      <c r="T4" s="102" t="s">
        <v>57</v>
      </c>
      <c r="U4" s="102" t="s">
        <v>58</v>
      </c>
      <c r="V4" s="102" t="s">
        <v>57</v>
      </c>
      <c r="W4" s="102" t="s">
        <v>58</v>
      </c>
      <c r="X4" s="102" t="s">
        <v>57</v>
      </c>
      <c r="Y4" s="103" t="s">
        <v>58</v>
      </c>
    </row>
    <row r="5" spans="2:25" s="3" customFormat="1" ht="21.75" customHeight="1">
      <c r="B5" s="992" t="s">
        <v>70</v>
      </c>
      <c r="C5" s="122" t="s">
        <v>159</v>
      </c>
      <c r="D5" s="481">
        <v>130</v>
      </c>
      <c r="E5" s="302">
        <v>37</v>
      </c>
      <c r="F5" s="302">
        <f>D5-H5</f>
        <v>130</v>
      </c>
      <c r="G5" s="302">
        <v>37</v>
      </c>
      <c r="H5" s="482">
        <v>0</v>
      </c>
      <c r="I5" s="302">
        <v>0</v>
      </c>
      <c r="J5" s="302">
        <f aca="true" t="shared" si="0" ref="J5:K9">N5+P5+R5+T5+V5+X5</f>
        <v>0</v>
      </c>
      <c r="K5" s="302">
        <f t="shared" si="0"/>
        <v>0</v>
      </c>
      <c r="L5" s="303">
        <v>0</v>
      </c>
      <c r="M5" s="303">
        <v>0</v>
      </c>
      <c r="N5" s="482">
        <v>0</v>
      </c>
      <c r="O5" s="482">
        <v>0</v>
      </c>
      <c r="P5" s="482">
        <v>0</v>
      </c>
      <c r="Q5" s="482">
        <v>0</v>
      </c>
      <c r="R5" s="482">
        <v>0</v>
      </c>
      <c r="S5" s="482">
        <v>0</v>
      </c>
      <c r="T5" s="482">
        <v>0</v>
      </c>
      <c r="U5" s="482">
        <v>0</v>
      </c>
      <c r="V5" s="482">
        <v>0</v>
      </c>
      <c r="W5" s="482">
        <v>0</v>
      </c>
      <c r="X5" s="482">
        <v>0</v>
      </c>
      <c r="Y5" s="483">
        <v>0</v>
      </c>
    </row>
    <row r="6" spans="2:25" s="3" customFormat="1" ht="21.75" customHeight="1">
      <c r="B6" s="993"/>
      <c r="C6" s="123" t="s">
        <v>221</v>
      </c>
      <c r="D6" s="484">
        <v>109</v>
      </c>
      <c r="E6" s="485">
        <v>25</v>
      </c>
      <c r="F6" s="485">
        <f aca="true" t="shared" si="1" ref="F6:F15">D6-H6</f>
        <v>108</v>
      </c>
      <c r="G6" s="485">
        <v>25</v>
      </c>
      <c r="H6" s="304">
        <v>1</v>
      </c>
      <c r="I6" s="304">
        <v>0</v>
      </c>
      <c r="J6" s="304">
        <f t="shared" si="0"/>
        <v>0</v>
      </c>
      <c r="K6" s="304">
        <f t="shared" si="0"/>
        <v>0</v>
      </c>
      <c r="L6" s="312">
        <f>J6/H6*100</f>
        <v>0</v>
      </c>
      <c r="M6" s="304">
        <v>0</v>
      </c>
      <c r="N6" s="304">
        <v>0</v>
      </c>
      <c r="O6" s="304">
        <v>0</v>
      </c>
      <c r="P6" s="304">
        <v>0</v>
      </c>
      <c r="Q6" s="304">
        <v>0</v>
      </c>
      <c r="R6" s="304">
        <v>0</v>
      </c>
      <c r="S6" s="304">
        <v>0</v>
      </c>
      <c r="T6" s="304">
        <v>0</v>
      </c>
      <c r="U6" s="304">
        <v>0</v>
      </c>
      <c r="V6" s="304">
        <v>0</v>
      </c>
      <c r="W6" s="304">
        <v>0</v>
      </c>
      <c r="X6" s="304">
        <v>0</v>
      </c>
      <c r="Y6" s="479">
        <v>0</v>
      </c>
    </row>
    <row r="7" spans="2:25" s="3" customFormat="1" ht="21.75" customHeight="1">
      <c r="B7" s="993"/>
      <c r="C7" s="123" t="s">
        <v>222</v>
      </c>
      <c r="D7" s="484">
        <v>129</v>
      </c>
      <c r="E7" s="485">
        <v>32</v>
      </c>
      <c r="F7" s="485">
        <f t="shared" si="1"/>
        <v>129</v>
      </c>
      <c r="G7" s="485">
        <v>32</v>
      </c>
      <c r="H7" s="304">
        <v>0</v>
      </c>
      <c r="I7" s="304">
        <v>0</v>
      </c>
      <c r="J7" s="304">
        <f t="shared" si="0"/>
        <v>0</v>
      </c>
      <c r="K7" s="304">
        <f t="shared" si="0"/>
        <v>0</v>
      </c>
      <c r="L7" s="312">
        <v>0</v>
      </c>
      <c r="M7" s="304">
        <v>0</v>
      </c>
      <c r="N7" s="304">
        <v>0</v>
      </c>
      <c r="O7" s="304">
        <v>0</v>
      </c>
      <c r="P7" s="304">
        <v>0</v>
      </c>
      <c r="Q7" s="304">
        <v>0</v>
      </c>
      <c r="R7" s="304">
        <v>0</v>
      </c>
      <c r="S7" s="304">
        <v>0</v>
      </c>
      <c r="T7" s="304">
        <v>0</v>
      </c>
      <c r="U7" s="304">
        <v>0</v>
      </c>
      <c r="V7" s="304">
        <v>0</v>
      </c>
      <c r="W7" s="304">
        <v>0</v>
      </c>
      <c r="X7" s="304">
        <v>0</v>
      </c>
      <c r="Y7" s="479">
        <v>0</v>
      </c>
    </row>
    <row r="8" spans="2:25" s="3" customFormat="1" ht="21.75" customHeight="1">
      <c r="B8" s="993"/>
      <c r="C8" s="123" t="s">
        <v>223</v>
      </c>
      <c r="D8" s="484">
        <v>112</v>
      </c>
      <c r="E8" s="485">
        <v>18</v>
      </c>
      <c r="F8" s="485">
        <f t="shared" si="1"/>
        <v>111</v>
      </c>
      <c r="G8" s="485">
        <v>18</v>
      </c>
      <c r="H8" s="304">
        <v>1</v>
      </c>
      <c r="I8" s="304">
        <v>0</v>
      </c>
      <c r="J8" s="304">
        <f t="shared" si="0"/>
        <v>0</v>
      </c>
      <c r="K8" s="304">
        <f t="shared" si="0"/>
        <v>0</v>
      </c>
      <c r="L8" s="312">
        <f>J8/H8*100</f>
        <v>0</v>
      </c>
      <c r="M8" s="304">
        <v>0</v>
      </c>
      <c r="N8" s="304">
        <v>0</v>
      </c>
      <c r="O8" s="304">
        <v>0</v>
      </c>
      <c r="P8" s="304">
        <v>0</v>
      </c>
      <c r="Q8" s="304">
        <v>0</v>
      </c>
      <c r="R8" s="304">
        <v>0</v>
      </c>
      <c r="S8" s="304">
        <v>0</v>
      </c>
      <c r="T8" s="304">
        <v>0</v>
      </c>
      <c r="U8" s="304">
        <v>0</v>
      </c>
      <c r="V8" s="304">
        <v>0</v>
      </c>
      <c r="W8" s="304">
        <v>0</v>
      </c>
      <c r="X8" s="304">
        <v>0</v>
      </c>
      <c r="Y8" s="479">
        <v>0</v>
      </c>
    </row>
    <row r="9" spans="2:25" s="3" customFormat="1" ht="21.75" customHeight="1">
      <c r="B9" s="993"/>
      <c r="C9" s="123" t="s">
        <v>224</v>
      </c>
      <c r="D9" s="484">
        <v>139</v>
      </c>
      <c r="E9" s="485">
        <v>13</v>
      </c>
      <c r="F9" s="485">
        <f t="shared" si="1"/>
        <v>139</v>
      </c>
      <c r="G9" s="485">
        <v>13</v>
      </c>
      <c r="H9" s="304">
        <v>0</v>
      </c>
      <c r="I9" s="304">
        <v>0</v>
      </c>
      <c r="J9" s="304">
        <f t="shared" si="0"/>
        <v>0</v>
      </c>
      <c r="K9" s="304">
        <f t="shared" si="0"/>
        <v>0</v>
      </c>
      <c r="L9" s="269">
        <v>0</v>
      </c>
      <c r="M9" s="304">
        <v>0</v>
      </c>
      <c r="N9" s="304">
        <v>0</v>
      </c>
      <c r="O9" s="304">
        <v>0</v>
      </c>
      <c r="P9" s="304">
        <v>0</v>
      </c>
      <c r="Q9" s="304">
        <v>0</v>
      </c>
      <c r="R9" s="304">
        <v>0</v>
      </c>
      <c r="S9" s="304">
        <v>0</v>
      </c>
      <c r="T9" s="304">
        <v>0</v>
      </c>
      <c r="U9" s="304">
        <v>0</v>
      </c>
      <c r="V9" s="304">
        <v>0</v>
      </c>
      <c r="W9" s="304">
        <v>0</v>
      </c>
      <c r="X9" s="304">
        <v>0</v>
      </c>
      <c r="Y9" s="479">
        <v>0</v>
      </c>
    </row>
    <row r="10" spans="2:25" s="3" customFormat="1" ht="21.75" customHeight="1">
      <c r="B10" s="994"/>
      <c r="C10" s="124" t="s">
        <v>4</v>
      </c>
      <c r="D10" s="313">
        <f>SUM(F10,H10)</f>
        <v>619</v>
      </c>
      <c r="E10" s="306">
        <f>SUM(G10,I10)</f>
        <v>125</v>
      </c>
      <c r="F10" s="306">
        <f aca="true" t="shared" si="2" ref="F10:K10">SUM(F5:F9)</f>
        <v>617</v>
      </c>
      <c r="G10" s="306">
        <f>SUM(G5:G9)</f>
        <v>125</v>
      </c>
      <c r="H10" s="306">
        <f t="shared" si="2"/>
        <v>2</v>
      </c>
      <c r="I10" s="306">
        <f t="shared" si="2"/>
        <v>0</v>
      </c>
      <c r="J10" s="306">
        <v>0</v>
      </c>
      <c r="K10" s="306">
        <f t="shared" si="2"/>
        <v>0</v>
      </c>
      <c r="L10" s="314">
        <f>J10/H10*100</f>
        <v>0</v>
      </c>
      <c r="M10" s="306">
        <v>0</v>
      </c>
      <c r="N10" s="306">
        <f>SUM(N5:N9)</f>
        <v>0</v>
      </c>
      <c r="O10" s="306">
        <f aca="true" t="shared" si="3" ref="O10:Y10">SUM(O5:O9)</f>
        <v>0</v>
      </c>
      <c r="P10" s="306">
        <f t="shared" si="3"/>
        <v>0</v>
      </c>
      <c r="Q10" s="306">
        <f t="shared" si="3"/>
        <v>0</v>
      </c>
      <c r="R10" s="306">
        <f t="shared" si="3"/>
        <v>0</v>
      </c>
      <c r="S10" s="306">
        <f t="shared" si="3"/>
        <v>0</v>
      </c>
      <c r="T10" s="306">
        <f t="shared" si="3"/>
        <v>0</v>
      </c>
      <c r="U10" s="306">
        <f t="shared" si="3"/>
        <v>0</v>
      </c>
      <c r="V10" s="306">
        <f t="shared" si="3"/>
        <v>0</v>
      </c>
      <c r="W10" s="306">
        <f t="shared" si="3"/>
        <v>0</v>
      </c>
      <c r="X10" s="306">
        <v>0</v>
      </c>
      <c r="Y10" s="307">
        <f t="shared" si="3"/>
        <v>0</v>
      </c>
    </row>
    <row r="11" spans="2:25" s="3" customFormat="1" ht="21.75" customHeight="1">
      <c r="B11" s="992" t="s">
        <v>72</v>
      </c>
      <c r="C11" s="123" t="s">
        <v>159</v>
      </c>
      <c r="D11" s="484">
        <v>332</v>
      </c>
      <c r="E11" s="485">
        <v>172</v>
      </c>
      <c r="F11" s="485">
        <f t="shared" si="1"/>
        <v>331</v>
      </c>
      <c r="G11" s="485">
        <v>172</v>
      </c>
      <c r="H11" s="485">
        <v>1</v>
      </c>
      <c r="I11" s="485">
        <v>0</v>
      </c>
      <c r="J11" s="302">
        <f aca="true" t="shared" si="4" ref="J11:K16">N11+P11+R11+T11+V11+X11</f>
        <v>0</v>
      </c>
      <c r="K11" s="302">
        <f t="shared" si="4"/>
        <v>0</v>
      </c>
      <c r="L11" s="269">
        <v>0</v>
      </c>
      <c r="M11" s="269">
        <v>0</v>
      </c>
      <c r="N11" s="302">
        <v>0</v>
      </c>
      <c r="O11" s="485">
        <v>0</v>
      </c>
      <c r="P11" s="485">
        <v>0</v>
      </c>
      <c r="Q11" s="485">
        <v>0</v>
      </c>
      <c r="R11" s="485">
        <v>0</v>
      </c>
      <c r="S11" s="485">
        <v>0</v>
      </c>
      <c r="T11" s="485">
        <v>0</v>
      </c>
      <c r="U11" s="485">
        <v>0</v>
      </c>
      <c r="V11" s="485">
        <v>0</v>
      </c>
      <c r="W11" s="485">
        <v>0</v>
      </c>
      <c r="X11" s="485">
        <v>0</v>
      </c>
      <c r="Y11" s="486">
        <v>0</v>
      </c>
    </row>
    <row r="12" spans="2:25" s="3" customFormat="1" ht="21.75" customHeight="1">
      <c r="B12" s="993"/>
      <c r="C12" s="123" t="s">
        <v>221</v>
      </c>
      <c r="D12" s="484">
        <v>261</v>
      </c>
      <c r="E12" s="485">
        <v>89</v>
      </c>
      <c r="F12" s="485">
        <f t="shared" si="1"/>
        <v>261</v>
      </c>
      <c r="G12" s="485">
        <f>88+1</f>
        <v>89</v>
      </c>
      <c r="H12" s="485">
        <v>0</v>
      </c>
      <c r="I12" s="485">
        <v>0</v>
      </c>
      <c r="J12" s="304">
        <f t="shared" si="4"/>
        <v>0</v>
      </c>
      <c r="K12" s="304">
        <f t="shared" si="4"/>
        <v>0</v>
      </c>
      <c r="L12" s="269">
        <v>0</v>
      </c>
      <c r="M12" s="269">
        <v>0</v>
      </c>
      <c r="N12" s="485">
        <v>0</v>
      </c>
      <c r="O12" s="485">
        <v>0</v>
      </c>
      <c r="P12" s="485">
        <v>0</v>
      </c>
      <c r="Q12" s="485">
        <v>0</v>
      </c>
      <c r="R12" s="485">
        <v>0</v>
      </c>
      <c r="S12" s="485">
        <v>0</v>
      </c>
      <c r="T12" s="485">
        <v>0</v>
      </c>
      <c r="U12" s="485">
        <v>0</v>
      </c>
      <c r="V12" s="485">
        <v>0</v>
      </c>
      <c r="W12" s="485">
        <v>0</v>
      </c>
      <c r="X12" s="485">
        <v>0</v>
      </c>
      <c r="Y12" s="486">
        <v>0</v>
      </c>
    </row>
    <row r="13" spans="2:25" s="3" customFormat="1" ht="21.75" customHeight="1">
      <c r="B13" s="993"/>
      <c r="C13" s="123" t="s">
        <v>222</v>
      </c>
      <c r="D13" s="484">
        <v>279</v>
      </c>
      <c r="E13" s="485">
        <v>53</v>
      </c>
      <c r="F13" s="485">
        <f t="shared" si="1"/>
        <v>279</v>
      </c>
      <c r="G13" s="485">
        <v>53</v>
      </c>
      <c r="H13" s="485">
        <v>0</v>
      </c>
      <c r="I13" s="485">
        <v>0</v>
      </c>
      <c r="J13" s="304">
        <f t="shared" si="4"/>
        <v>0</v>
      </c>
      <c r="K13" s="304">
        <f t="shared" si="4"/>
        <v>0</v>
      </c>
      <c r="L13" s="269">
        <v>0</v>
      </c>
      <c r="M13" s="269">
        <v>0</v>
      </c>
      <c r="N13" s="485">
        <v>0</v>
      </c>
      <c r="O13" s="485">
        <v>0</v>
      </c>
      <c r="P13" s="485">
        <v>0</v>
      </c>
      <c r="Q13" s="485">
        <v>0</v>
      </c>
      <c r="R13" s="485">
        <v>0</v>
      </c>
      <c r="S13" s="485">
        <v>0</v>
      </c>
      <c r="T13" s="485">
        <v>0</v>
      </c>
      <c r="U13" s="485">
        <v>0</v>
      </c>
      <c r="V13" s="485">
        <v>0</v>
      </c>
      <c r="W13" s="485">
        <v>0</v>
      </c>
      <c r="X13" s="485">
        <v>0</v>
      </c>
      <c r="Y13" s="486">
        <v>0</v>
      </c>
    </row>
    <row r="14" spans="2:25" s="3" customFormat="1" ht="21.75" customHeight="1">
      <c r="B14" s="993"/>
      <c r="C14" s="123" t="s">
        <v>223</v>
      </c>
      <c r="D14" s="484">
        <v>233</v>
      </c>
      <c r="E14" s="485">
        <v>45</v>
      </c>
      <c r="F14" s="485">
        <f t="shared" si="1"/>
        <v>233</v>
      </c>
      <c r="G14" s="485">
        <v>45</v>
      </c>
      <c r="H14" s="485">
        <v>0</v>
      </c>
      <c r="I14" s="485">
        <v>0</v>
      </c>
      <c r="J14" s="304">
        <f t="shared" si="4"/>
        <v>0</v>
      </c>
      <c r="K14" s="304">
        <f t="shared" si="4"/>
        <v>0</v>
      </c>
      <c r="L14" s="269">
        <v>0</v>
      </c>
      <c r="M14" s="269">
        <v>0</v>
      </c>
      <c r="N14" s="485">
        <v>0</v>
      </c>
      <c r="O14" s="485">
        <v>0</v>
      </c>
      <c r="P14" s="485">
        <v>0</v>
      </c>
      <c r="Q14" s="485">
        <v>0</v>
      </c>
      <c r="R14" s="485">
        <v>0</v>
      </c>
      <c r="S14" s="485">
        <v>0</v>
      </c>
      <c r="T14" s="485">
        <v>0</v>
      </c>
      <c r="U14" s="485">
        <v>0</v>
      </c>
      <c r="V14" s="485">
        <v>0</v>
      </c>
      <c r="W14" s="485">
        <v>0</v>
      </c>
      <c r="X14" s="485">
        <v>0</v>
      </c>
      <c r="Y14" s="486">
        <v>0</v>
      </c>
    </row>
    <row r="15" spans="2:25" s="3" customFormat="1" ht="21.75" customHeight="1">
      <c r="B15" s="993"/>
      <c r="C15" s="123" t="s">
        <v>224</v>
      </c>
      <c r="D15" s="484">
        <v>315</v>
      </c>
      <c r="E15" s="485">
        <v>31</v>
      </c>
      <c r="F15" s="485">
        <f t="shared" si="1"/>
        <v>315</v>
      </c>
      <c r="G15" s="485">
        <v>31</v>
      </c>
      <c r="H15" s="485">
        <v>0</v>
      </c>
      <c r="I15" s="485">
        <v>0</v>
      </c>
      <c r="J15" s="304">
        <f t="shared" si="4"/>
        <v>0</v>
      </c>
      <c r="K15" s="304">
        <f t="shared" si="4"/>
        <v>0</v>
      </c>
      <c r="L15" s="312">
        <v>0</v>
      </c>
      <c r="M15" s="269">
        <v>0</v>
      </c>
      <c r="N15" s="485">
        <v>0</v>
      </c>
      <c r="O15" s="485">
        <v>0</v>
      </c>
      <c r="P15" s="485">
        <v>0</v>
      </c>
      <c r="Q15" s="485">
        <v>0</v>
      </c>
      <c r="R15" s="485">
        <v>0</v>
      </c>
      <c r="S15" s="485">
        <v>0</v>
      </c>
      <c r="T15" s="485">
        <v>0</v>
      </c>
      <c r="U15" s="485">
        <v>0</v>
      </c>
      <c r="V15" s="485">
        <v>0</v>
      </c>
      <c r="W15" s="485">
        <v>0</v>
      </c>
      <c r="X15" s="485">
        <v>0</v>
      </c>
      <c r="Y15" s="486">
        <v>0</v>
      </c>
    </row>
    <row r="16" spans="2:25" s="3" customFormat="1" ht="21.75" customHeight="1">
      <c r="B16" s="993"/>
      <c r="C16" s="125" t="s">
        <v>4</v>
      </c>
      <c r="D16" s="315">
        <f>SUM(F16,H16)</f>
        <v>1420</v>
      </c>
      <c r="E16" s="315">
        <f>SUM(G16,I16)</f>
        <v>390</v>
      </c>
      <c r="F16" s="305">
        <f>SUM(F11:F15)</f>
        <v>1419</v>
      </c>
      <c r="G16" s="306">
        <f>SUM(G11:G15)</f>
        <v>390</v>
      </c>
      <c r="H16" s="305">
        <f>SUM(H11:H15)</f>
        <v>1</v>
      </c>
      <c r="I16" s="305">
        <f>SUM(I11:I15)</f>
        <v>0</v>
      </c>
      <c r="J16" s="306">
        <f t="shared" si="4"/>
        <v>0</v>
      </c>
      <c r="K16" s="306">
        <f t="shared" si="4"/>
        <v>0</v>
      </c>
      <c r="L16" s="312">
        <f>J16/H16*100</f>
        <v>0</v>
      </c>
      <c r="M16" s="269">
        <v>0</v>
      </c>
      <c r="N16" s="305">
        <f>SUM(N11:N15)</f>
        <v>0</v>
      </c>
      <c r="O16" s="305">
        <f aca="true" t="shared" si="5" ref="O16:Y16">SUM(O11:O15)</f>
        <v>0</v>
      </c>
      <c r="P16" s="305">
        <f t="shared" si="5"/>
        <v>0</v>
      </c>
      <c r="Q16" s="305">
        <f t="shared" si="5"/>
        <v>0</v>
      </c>
      <c r="R16" s="305">
        <f t="shared" si="5"/>
        <v>0</v>
      </c>
      <c r="S16" s="305">
        <f t="shared" si="5"/>
        <v>0</v>
      </c>
      <c r="T16" s="305">
        <f t="shared" si="5"/>
        <v>0</v>
      </c>
      <c r="U16" s="305">
        <f t="shared" si="5"/>
        <v>0</v>
      </c>
      <c r="V16" s="305">
        <f t="shared" si="5"/>
        <v>0</v>
      </c>
      <c r="W16" s="305">
        <f t="shared" si="5"/>
        <v>0</v>
      </c>
      <c r="X16" s="305">
        <v>0</v>
      </c>
      <c r="Y16" s="316">
        <f t="shared" si="5"/>
        <v>0</v>
      </c>
    </row>
    <row r="17" spans="2:25" s="3" customFormat="1" ht="21.75" customHeight="1">
      <c r="B17" s="995" t="s">
        <v>73</v>
      </c>
      <c r="C17" s="996"/>
      <c r="D17" s="317">
        <f>SUM(D10,D16)</f>
        <v>2039</v>
      </c>
      <c r="E17" s="317">
        <f>SUM(E10,E16)</f>
        <v>515</v>
      </c>
      <c r="F17" s="317">
        <f>SUM(F10,F16)</f>
        <v>2036</v>
      </c>
      <c r="G17" s="317">
        <f>SUM(G10,G16)</f>
        <v>515</v>
      </c>
      <c r="H17" s="317">
        <f>SUM(H10,H16)</f>
        <v>3</v>
      </c>
      <c r="I17" s="317">
        <f aca="true" t="shared" si="6" ref="I17:Y17">SUM(I10,I16)</f>
        <v>0</v>
      </c>
      <c r="J17" s="317">
        <f t="shared" si="6"/>
        <v>0</v>
      </c>
      <c r="K17" s="317">
        <f t="shared" si="6"/>
        <v>0</v>
      </c>
      <c r="L17" s="318">
        <f>J17/H17*100</f>
        <v>0</v>
      </c>
      <c r="M17" s="317">
        <f t="shared" si="6"/>
        <v>0</v>
      </c>
      <c r="N17" s="319">
        <f t="shared" si="6"/>
        <v>0</v>
      </c>
      <c r="O17" s="317">
        <f t="shared" si="6"/>
        <v>0</v>
      </c>
      <c r="P17" s="317">
        <f t="shared" si="6"/>
        <v>0</v>
      </c>
      <c r="Q17" s="317">
        <f t="shared" si="6"/>
        <v>0</v>
      </c>
      <c r="R17" s="317">
        <f t="shared" si="6"/>
        <v>0</v>
      </c>
      <c r="S17" s="317">
        <f t="shared" si="6"/>
        <v>0</v>
      </c>
      <c r="T17" s="317">
        <f t="shared" si="6"/>
        <v>0</v>
      </c>
      <c r="U17" s="317">
        <f t="shared" si="6"/>
        <v>0</v>
      </c>
      <c r="V17" s="317">
        <f t="shared" si="6"/>
        <v>0</v>
      </c>
      <c r="W17" s="317">
        <f t="shared" si="6"/>
        <v>0</v>
      </c>
      <c r="X17" s="317">
        <f t="shared" si="6"/>
        <v>0</v>
      </c>
      <c r="Y17" s="320">
        <f t="shared" si="6"/>
        <v>0</v>
      </c>
    </row>
    <row r="18" s="3" customFormat="1" ht="25.5" customHeight="1"/>
    <row r="19" spans="1:13" ht="14.25">
      <c r="A19" s="790" t="s">
        <v>547</v>
      </c>
      <c r="B19" s="790"/>
      <c r="C19" s="790"/>
      <c r="D19" s="790"/>
      <c r="E19" s="790"/>
      <c r="F19" s="790"/>
      <c r="G19" s="790"/>
      <c r="H19" s="790"/>
      <c r="I19" s="790"/>
      <c r="J19" s="790"/>
      <c r="K19" s="790"/>
      <c r="L19" s="790"/>
      <c r="M19" s="790"/>
    </row>
    <row r="20" spans="2:25" s="3" customFormat="1" ht="26.25" customHeight="1">
      <c r="B20" s="894" t="s">
        <v>76</v>
      </c>
      <c r="C20" s="856" t="s">
        <v>74</v>
      </c>
      <c r="D20" s="897" t="s">
        <v>54</v>
      </c>
      <c r="E20" s="883"/>
      <c r="F20" s="883" t="s">
        <v>122</v>
      </c>
      <c r="G20" s="997"/>
      <c r="H20" s="997" t="s">
        <v>55</v>
      </c>
      <c r="I20" s="997"/>
      <c r="J20" s="997" t="s">
        <v>79</v>
      </c>
      <c r="K20" s="997"/>
      <c r="L20" s="997" t="s">
        <v>87</v>
      </c>
      <c r="M20" s="997"/>
      <c r="N20" s="997" t="s">
        <v>80</v>
      </c>
      <c r="O20" s="997"/>
      <c r="P20" s="997"/>
      <c r="Q20" s="997"/>
      <c r="R20" s="997"/>
      <c r="S20" s="997"/>
      <c r="T20" s="997"/>
      <c r="U20" s="997"/>
      <c r="V20" s="997"/>
      <c r="W20" s="997"/>
      <c r="X20" s="997"/>
      <c r="Y20" s="856"/>
    </row>
    <row r="21" spans="2:25" s="3" customFormat="1" ht="26.25" customHeight="1">
      <c r="B21" s="895"/>
      <c r="C21" s="892"/>
      <c r="D21" s="898"/>
      <c r="E21" s="885"/>
      <c r="F21" s="998"/>
      <c r="G21" s="998"/>
      <c r="H21" s="998"/>
      <c r="I21" s="998"/>
      <c r="J21" s="998"/>
      <c r="K21" s="998"/>
      <c r="L21" s="998"/>
      <c r="M21" s="998"/>
      <c r="N21" s="998" t="s">
        <v>123</v>
      </c>
      <c r="O21" s="998"/>
      <c r="P21" s="998" t="s">
        <v>124</v>
      </c>
      <c r="Q21" s="998"/>
      <c r="R21" s="998" t="s">
        <v>125</v>
      </c>
      <c r="S21" s="998"/>
      <c r="T21" s="998" t="s">
        <v>126</v>
      </c>
      <c r="U21" s="998"/>
      <c r="V21" s="998" t="s">
        <v>83</v>
      </c>
      <c r="W21" s="998"/>
      <c r="X21" s="905" t="s">
        <v>127</v>
      </c>
      <c r="Y21" s="999"/>
    </row>
    <row r="22" spans="2:25" s="3" customFormat="1" ht="26.25" customHeight="1">
      <c r="B22" s="896"/>
      <c r="C22" s="893"/>
      <c r="D22" s="101" t="s">
        <v>57</v>
      </c>
      <c r="E22" s="102" t="s">
        <v>58</v>
      </c>
      <c r="F22" s="102" t="s">
        <v>57</v>
      </c>
      <c r="G22" s="102" t="s">
        <v>58</v>
      </c>
      <c r="H22" s="102" t="s">
        <v>57</v>
      </c>
      <c r="I22" s="102" t="s">
        <v>58</v>
      </c>
      <c r="J22" s="102" t="s">
        <v>57</v>
      </c>
      <c r="K22" s="102" t="s">
        <v>58</v>
      </c>
      <c r="L22" s="102" t="s">
        <v>57</v>
      </c>
      <c r="M22" s="102" t="s">
        <v>58</v>
      </c>
      <c r="N22" s="102" t="s">
        <v>57</v>
      </c>
      <c r="O22" s="102" t="s">
        <v>58</v>
      </c>
      <c r="P22" s="102" t="s">
        <v>57</v>
      </c>
      <c r="Q22" s="102" t="s">
        <v>58</v>
      </c>
      <c r="R22" s="102" t="s">
        <v>57</v>
      </c>
      <c r="S22" s="102" t="s">
        <v>58</v>
      </c>
      <c r="T22" s="102" t="s">
        <v>57</v>
      </c>
      <c r="U22" s="102" t="s">
        <v>58</v>
      </c>
      <c r="V22" s="102" t="s">
        <v>57</v>
      </c>
      <c r="W22" s="102" t="s">
        <v>58</v>
      </c>
      <c r="X22" s="102" t="s">
        <v>57</v>
      </c>
      <c r="Y22" s="103" t="s">
        <v>58</v>
      </c>
    </row>
    <row r="23" spans="2:25" s="3" customFormat="1" ht="21.75" customHeight="1">
      <c r="B23" s="992" t="s">
        <v>70</v>
      </c>
      <c r="C23" s="122" t="s">
        <v>159</v>
      </c>
      <c r="D23" s="481">
        <v>130</v>
      </c>
      <c r="E23" s="302">
        <v>37</v>
      </c>
      <c r="F23" s="302">
        <v>130</v>
      </c>
      <c r="G23" s="302">
        <v>37</v>
      </c>
      <c r="H23" s="482">
        <v>0</v>
      </c>
      <c r="I23" s="302">
        <v>0</v>
      </c>
      <c r="J23" s="302">
        <f aca="true" t="shared" si="7" ref="J23:K27">N23+P23+R23+T23+V23+X23</f>
        <v>0</v>
      </c>
      <c r="K23" s="302">
        <f t="shared" si="7"/>
        <v>0</v>
      </c>
      <c r="L23" s="312">
        <f>IF(H23=0,0,J23/H23*100)</f>
        <v>0</v>
      </c>
      <c r="M23" s="312">
        <f aca="true" t="shared" si="8" ref="M23:M35">IF(I23=0,0,K23/I23*100)</f>
        <v>0</v>
      </c>
      <c r="N23" s="482">
        <v>0</v>
      </c>
      <c r="O23" s="482">
        <v>0</v>
      </c>
      <c r="P23" s="482">
        <v>0</v>
      </c>
      <c r="Q23" s="482">
        <v>0</v>
      </c>
      <c r="R23" s="482">
        <v>0</v>
      </c>
      <c r="S23" s="482">
        <v>0</v>
      </c>
      <c r="T23" s="482">
        <v>0</v>
      </c>
      <c r="U23" s="482">
        <v>0</v>
      </c>
      <c r="V23" s="482">
        <v>0</v>
      </c>
      <c r="W23" s="482">
        <v>0</v>
      </c>
      <c r="X23" s="482">
        <v>0</v>
      </c>
      <c r="Y23" s="483">
        <v>0</v>
      </c>
    </row>
    <row r="24" spans="2:25" s="3" customFormat="1" ht="21.75" customHeight="1">
      <c r="B24" s="993"/>
      <c r="C24" s="123" t="s">
        <v>221</v>
      </c>
      <c r="D24" s="484">
        <v>109</v>
      </c>
      <c r="E24" s="485">
        <v>25</v>
      </c>
      <c r="F24" s="485">
        <v>109</v>
      </c>
      <c r="G24" s="485">
        <v>25</v>
      </c>
      <c r="H24" s="304">
        <v>0</v>
      </c>
      <c r="I24" s="304">
        <v>0</v>
      </c>
      <c r="J24" s="304">
        <f>N24+P24+R24+T24+V24+X24</f>
        <v>0</v>
      </c>
      <c r="K24" s="304">
        <f t="shared" si="7"/>
        <v>0</v>
      </c>
      <c r="L24" s="312">
        <f>IF(H24=0,0,J24/H24*100)</f>
        <v>0</v>
      </c>
      <c r="M24" s="304">
        <f t="shared" si="8"/>
        <v>0</v>
      </c>
      <c r="N24" s="304">
        <v>0</v>
      </c>
      <c r="O24" s="304">
        <v>0</v>
      </c>
      <c r="P24" s="304">
        <v>0</v>
      </c>
      <c r="Q24" s="304">
        <v>0</v>
      </c>
      <c r="R24" s="304">
        <v>0</v>
      </c>
      <c r="S24" s="304">
        <v>0</v>
      </c>
      <c r="T24" s="304">
        <v>0</v>
      </c>
      <c r="U24" s="304">
        <v>0</v>
      </c>
      <c r="V24" s="304">
        <v>0</v>
      </c>
      <c r="W24" s="304">
        <v>0</v>
      </c>
      <c r="X24" s="304">
        <v>0</v>
      </c>
      <c r="Y24" s="479">
        <v>0</v>
      </c>
    </row>
    <row r="25" spans="2:25" s="3" customFormat="1" ht="21.75" customHeight="1">
      <c r="B25" s="993"/>
      <c r="C25" s="123" t="s">
        <v>222</v>
      </c>
      <c r="D25" s="484">
        <v>129</v>
      </c>
      <c r="E25" s="485">
        <v>32</v>
      </c>
      <c r="F25" s="485">
        <v>128</v>
      </c>
      <c r="G25" s="485">
        <v>32</v>
      </c>
      <c r="H25" s="304">
        <v>1</v>
      </c>
      <c r="I25" s="304">
        <v>0</v>
      </c>
      <c r="J25" s="304">
        <f t="shared" si="7"/>
        <v>0</v>
      </c>
      <c r="K25" s="304">
        <f t="shared" si="7"/>
        <v>0</v>
      </c>
      <c r="L25" s="312">
        <f>IF(H25=0,0,J25/H25*100)</f>
        <v>0</v>
      </c>
      <c r="M25" s="304">
        <f t="shared" si="8"/>
        <v>0</v>
      </c>
      <c r="N25" s="304">
        <v>0</v>
      </c>
      <c r="O25" s="304">
        <v>0</v>
      </c>
      <c r="P25" s="304">
        <v>0</v>
      </c>
      <c r="Q25" s="304">
        <v>0</v>
      </c>
      <c r="R25" s="304">
        <v>0</v>
      </c>
      <c r="S25" s="304">
        <v>0</v>
      </c>
      <c r="T25" s="304">
        <v>0</v>
      </c>
      <c r="U25" s="304">
        <v>0</v>
      </c>
      <c r="V25" s="304">
        <v>0</v>
      </c>
      <c r="W25" s="304">
        <v>0</v>
      </c>
      <c r="X25" s="304">
        <v>0</v>
      </c>
      <c r="Y25" s="479">
        <v>0</v>
      </c>
    </row>
    <row r="26" spans="2:25" s="3" customFormat="1" ht="21.75" customHeight="1">
      <c r="B26" s="993"/>
      <c r="C26" s="123" t="s">
        <v>223</v>
      </c>
      <c r="D26" s="484">
        <v>112</v>
      </c>
      <c r="E26" s="485">
        <v>18</v>
      </c>
      <c r="F26" s="485">
        <v>111</v>
      </c>
      <c r="G26" s="485">
        <v>18</v>
      </c>
      <c r="H26" s="304">
        <v>1</v>
      </c>
      <c r="I26" s="304">
        <v>0</v>
      </c>
      <c r="J26" s="304">
        <f t="shared" si="7"/>
        <v>0</v>
      </c>
      <c r="K26" s="304">
        <f t="shared" si="7"/>
        <v>0</v>
      </c>
      <c r="L26" s="312">
        <f>IF(H26=0,0,J26/H26*100)</f>
        <v>0</v>
      </c>
      <c r="M26" s="304">
        <f t="shared" si="8"/>
        <v>0</v>
      </c>
      <c r="N26" s="304">
        <v>0</v>
      </c>
      <c r="O26" s="304">
        <v>0</v>
      </c>
      <c r="P26" s="304">
        <v>0</v>
      </c>
      <c r="Q26" s="304">
        <v>0</v>
      </c>
      <c r="R26" s="304">
        <v>0</v>
      </c>
      <c r="S26" s="304">
        <v>0</v>
      </c>
      <c r="T26" s="304">
        <v>0</v>
      </c>
      <c r="U26" s="304">
        <v>0</v>
      </c>
      <c r="V26" s="304">
        <v>0</v>
      </c>
      <c r="W26" s="304">
        <v>0</v>
      </c>
      <c r="X26" s="304">
        <v>0</v>
      </c>
      <c r="Y26" s="479">
        <v>0</v>
      </c>
    </row>
    <row r="27" spans="2:25" s="3" customFormat="1" ht="21.75" customHeight="1">
      <c r="B27" s="993"/>
      <c r="C27" s="123" t="s">
        <v>224</v>
      </c>
      <c r="D27" s="484">
        <v>139</v>
      </c>
      <c r="E27" s="485">
        <v>13</v>
      </c>
      <c r="F27" s="485">
        <v>137</v>
      </c>
      <c r="G27" s="485">
        <v>13</v>
      </c>
      <c r="H27" s="304">
        <v>2</v>
      </c>
      <c r="I27" s="304">
        <v>0</v>
      </c>
      <c r="J27" s="304">
        <f t="shared" si="7"/>
        <v>2</v>
      </c>
      <c r="K27" s="304">
        <f t="shared" si="7"/>
        <v>0</v>
      </c>
      <c r="L27" s="312">
        <f>IF(H27=0,0,J27/H27*100)</f>
        <v>100</v>
      </c>
      <c r="M27" s="312">
        <f t="shared" si="8"/>
        <v>0</v>
      </c>
      <c r="N27" s="304">
        <v>0</v>
      </c>
      <c r="O27" s="304">
        <v>0</v>
      </c>
      <c r="P27" s="304">
        <v>0</v>
      </c>
      <c r="Q27" s="304">
        <v>0</v>
      </c>
      <c r="R27" s="304">
        <v>0</v>
      </c>
      <c r="S27" s="304">
        <v>0</v>
      </c>
      <c r="T27" s="304">
        <v>0</v>
      </c>
      <c r="U27" s="304">
        <v>0</v>
      </c>
      <c r="V27" s="304">
        <v>0</v>
      </c>
      <c r="W27" s="304">
        <v>0</v>
      </c>
      <c r="X27" s="304">
        <v>2</v>
      </c>
      <c r="Y27" s="479">
        <v>0</v>
      </c>
    </row>
    <row r="28" spans="2:25" s="3" customFormat="1" ht="21.75" customHeight="1">
      <c r="B28" s="994"/>
      <c r="C28" s="124" t="s">
        <v>4</v>
      </c>
      <c r="D28" s="313">
        <f>SUM(F28,H28)</f>
        <v>619</v>
      </c>
      <c r="E28" s="306">
        <f>SUM(G28,I28)</f>
        <v>125</v>
      </c>
      <c r="F28" s="306">
        <f aca="true" t="shared" si="9" ref="F28:K28">SUM(F23:F27)</f>
        <v>615</v>
      </c>
      <c r="G28" s="306">
        <f t="shared" si="9"/>
        <v>125</v>
      </c>
      <c r="H28" s="306">
        <f t="shared" si="9"/>
        <v>4</v>
      </c>
      <c r="I28" s="306">
        <f t="shared" si="9"/>
        <v>0</v>
      </c>
      <c r="J28" s="306">
        <f>SUM(J23:J27)</f>
        <v>2</v>
      </c>
      <c r="K28" s="306">
        <f t="shared" si="9"/>
        <v>0</v>
      </c>
      <c r="L28" s="314">
        <f aca="true" t="shared" si="10" ref="L28:L35">IF(H28=0,0,J28/H28*100)</f>
        <v>50</v>
      </c>
      <c r="M28" s="306">
        <f t="shared" si="8"/>
        <v>0</v>
      </c>
      <c r="N28" s="306">
        <f>SUM(N23:N27)</f>
        <v>0</v>
      </c>
      <c r="O28" s="306">
        <f aca="true" t="shared" si="11" ref="O28:Y28">SUM(O23:O27)</f>
        <v>0</v>
      </c>
      <c r="P28" s="306">
        <f t="shared" si="11"/>
        <v>0</v>
      </c>
      <c r="Q28" s="306">
        <f t="shared" si="11"/>
        <v>0</v>
      </c>
      <c r="R28" s="306">
        <f t="shared" si="11"/>
        <v>0</v>
      </c>
      <c r="S28" s="306">
        <f t="shared" si="11"/>
        <v>0</v>
      </c>
      <c r="T28" s="306">
        <f t="shared" si="11"/>
        <v>0</v>
      </c>
      <c r="U28" s="306">
        <f t="shared" si="11"/>
        <v>0</v>
      </c>
      <c r="V28" s="306">
        <f>SUM(V23:V27)</f>
        <v>0</v>
      </c>
      <c r="W28" s="306">
        <f t="shared" si="11"/>
        <v>0</v>
      </c>
      <c r="X28" s="306">
        <f>SUM(X23:X27)</f>
        <v>2</v>
      </c>
      <c r="Y28" s="307">
        <f t="shared" si="11"/>
        <v>0</v>
      </c>
    </row>
    <row r="29" spans="2:25" s="3" customFormat="1" ht="21.75" customHeight="1">
      <c r="B29" s="992" t="s">
        <v>72</v>
      </c>
      <c r="C29" s="123" t="s">
        <v>159</v>
      </c>
      <c r="D29" s="484">
        <v>332</v>
      </c>
      <c r="E29" s="485">
        <v>172</v>
      </c>
      <c r="F29" s="485">
        <v>332</v>
      </c>
      <c r="G29" s="485">
        <v>171</v>
      </c>
      <c r="H29" s="485">
        <v>0</v>
      </c>
      <c r="I29" s="485">
        <v>1</v>
      </c>
      <c r="J29" s="302">
        <f aca="true" t="shared" si="12" ref="J29:K33">N29+P29+R29+T29+V29+X29</f>
        <v>0</v>
      </c>
      <c r="K29" s="302">
        <f>O29+Q29+S29+U29+W29+Y29</f>
        <v>0</v>
      </c>
      <c r="L29" s="312">
        <f t="shared" si="10"/>
        <v>0</v>
      </c>
      <c r="M29" s="312">
        <f t="shared" si="8"/>
        <v>0</v>
      </c>
      <c r="N29" s="302">
        <v>0</v>
      </c>
      <c r="O29" s="485">
        <v>0</v>
      </c>
      <c r="P29" s="485">
        <v>0</v>
      </c>
      <c r="Q29" s="485">
        <v>0</v>
      </c>
      <c r="R29" s="485">
        <v>0</v>
      </c>
      <c r="S29" s="485">
        <v>0</v>
      </c>
      <c r="T29" s="485">
        <v>0</v>
      </c>
      <c r="U29" s="485">
        <v>0</v>
      </c>
      <c r="V29" s="485">
        <v>0</v>
      </c>
      <c r="W29" s="485">
        <v>0</v>
      </c>
      <c r="X29" s="485">
        <v>0</v>
      </c>
      <c r="Y29" s="486">
        <v>0</v>
      </c>
    </row>
    <row r="30" spans="2:25" s="3" customFormat="1" ht="21.75" customHeight="1">
      <c r="B30" s="993"/>
      <c r="C30" s="123" t="s">
        <v>221</v>
      </c>
      <c r="D30" s="484">
        <v>261</v>
      </c>
      <c r="E30" s="485">
        <v>89</v>
      </c>
      <c r="F30" s="485">
        <v>260</v>
      </c>
      <c r="G30" s="485">
        <v>89</v>
      </c>
      <c r="H30" s="485">
        <v>1</v>
      </c>
      <c r="I30" s="485">
        <v>0</v>
      </c>
      <c r="J30" s="304">
        <f t="shared" si="12"/>
        <v>0</v>
      </c>
      <c r="K30" s="304">
        <f t="shared" si="12"/>
        <v>0</v>
      </c>
      <c r="L30" s="312">
        <f t="shared" si="10"/>
        <v>0</v>
      </c>
      <c r="M30" s="312">
        <f t="shared" si="8"/>
        <v>0</v>
      </c>
      <c r="N30" s="485">
        <v>0</v>
      </c>
      <c r="O30" s="485">
        <v>0</v>
      </c>
      <c r="P30" s="485">
        <v>0</v>
      </c>
      <c r="Q30" s="485">
        <v>0</v>
      </c>
      <c r="R30" s="485">
        <v>0</v>
      </c>
      <c r="S30" s="485">
        <v>0</v>
      </c>
      <c r="T30" s="485">
        <v>0</v>
      </c>
      <c r="U30" s="485">
        <v>0</v>
      </c>
      <c r="V30" s="485">
        <v>0</v>
      </c>
      <c r="W30" s="485">
        <v>0</v>
      </c>
      <c r="X30" s="485">
        <v>0</v>
      </c>
      <c r="Y30" s="486">
        <v>0</v>
      </c>
    </row>
    <row r="31" spans="2:25" s="3" customFormat="1" ht="21.75" customHeight="1">
      <c r="B31" s="993"/>
      <c r="C31" s="123" t="s">
        <v>222</v>
      </c>
      <c r="D31" s="484">
        <v>279</v>
      </c>
      <c r="E31" s="485">
        <v>53</v>
      </c>
      <c r="F31" s="485">
        <v>278</v>
      </c>
      <c r="G31" s="485">
        <v>53</v>
      </c>
      <c r="H31" s="485">
        <v>1</v>
      </c>
      <c r="I31" s="485">
        <v>0</v>
      </c>
      <c r="J31" s="304">
        <f t="shared" si="12"/>
        <v>0</v>
      </c>
      <c r="K31" s="304">
        <f t="shared" si="12"/>
        <v>0</v>
      </c>
      <c r="L31" s="312">
        <f t="shared" si="10"/>
        <v>0</v>
      </c>
      <c r="M31" s="312">
        <f t="shared" si="8"/>
        <v>0</v>
      </c>
      <c r="N31" s="485">
        <v>0</v>
      </c>
      <c r="O31" s="485">
        <v>0</v>
      </c>
      <c r="P31" s="485">
        <v>0</v>
      </c>
      <c r="Q31" s="485">
        <v>0</v>
      </c>
      <c r="R31" s="485">
        <v>0</v>
      </c>
      <c r="S31" s="485">
        <v>0</v>
      </c>
      <c r="T31" s="485">
        <v>0</v>
      </c>
      <c r="U31" s="485">
        <v>0</v>
      </c>
      <c r="V31" s="485">
        <v>0</v>
      </c>
      <c r="W31" s="485">
        <v>0</v>
      </c>
      <c r="X31" s="485">
        <v>0</v>
      </c>
      <c r="Y31" s="486">
        <v>0</v>
      </c>
    </row>
    <row r="32" spans="2:25" s="3" customFormat="1" ht="21.75" customHeight="1">
      <c r="B32" s="993"/>
      <c r="C32" s="123" t="s">
        <v>223</v>
      </c>
      <c r="D32" s="484">
        <v>233</v>
      </c>
      <c r="E32" s="485">
        <v>45</v>
      </c>
      <c r="F32" s="485">
        <v>232</v>
      </c>
      <c r="G32" s="485">
        <v>45</v>
      </c>
      <c r="H32" s="485">
        <v>1</v>
      </c>
      <c r="I32" s="485">
        <v>0</v>
      </c>
      <c r="J32" s="304">
        <f t="shared" si="12"/>
        <v>1</v>
      </c>
      <c r="K32" s="304">
        <f t="shared" si="12"/>
        <v>0</v>
      </c>
      <c r="L32" s="312">
        <f t="shared" si="10"/>
        <v>100</v>
      </c>
      <c r="M32" s="312">
        <f t="shared" si="8"/>
        <v>0</v>
      </c>
      <c r="N32" s="485">
        <v>1</v>
      </c>
      <c r="O32" s="485">
        <v>0</v>
      </c>
      <c r="P32" s="485">
        <v>0</v>
      </c>
      <c r="Q32" s="485">
        <v>0</v>
      </c>
      <c r="R32" s="485">
        <v>0</v>
      </c>
      <c r="S32" s="485">
        <v>0</v>
      </c>
      <c r="T32" s="485">
        <v>0</v>
      </c>
      <c r="U32" s="485">
        <v>0</v>
      </c>
      <c r="V32" s="485">
        <v>0</v>
      </c>
      <c r="W32" s="485">
        <v>0</v>
      </c>
      <c r="X32" s="485">
        <v>0</v>
      </c>
      <c r="Y32" s="486">
        <v>0</v>
      </c>
    </row>
    <row r="33" spans="2:25" s="3" customFormat="1" ht="21.75" customHeight="1">
      <c r="B33" s="993"/>
      <c r="C33" s="123" t="s">
        <v>224</v>
      </c>
      <c r="D33" s="484">
        <v>315</v>
      </c>
      <c r="E33" s="485">
        <v>31</v>
      </c>
      <c r="F33" s="485">
        <v>314</v>
      </c>
      <c r="G33" s="485">
        <v>31</v>
      </c>
      <c r="H33" s="485">
        <v>1</v>
      </c>
      <c r="I33" s="485">
        <v>0</v>
      </c>
      <c r="J33" s="304">
        <f t="shared" si="12"/>
        <v>1</v>
      </c>
      <c r="K33" s="304">
        <f t="shared" si="12"/>
        <v>0</v>
      </c>
      <c r="L33" s="312">
        <f t="shared" si="10"/>
        <v>100</v>
      </c>
      <c r="M33" s="269">
        <f t="shared" si="8"/>
        <v>0</v>
      </c>
      <c r="N33" s="485">
        <v>0</v>
      </c>
      <c r="O33" s="485">
        <v>0</v>
      </c>
      <c r="P33" s="485">
        <v>0</v>
      </c>
      <c r="Q33" s="485">
        <v>0</v>
      </c>
      <c r="R33" s="485">
        <v>0</v>
      </c>
      <c r="S33" s="485">
        <v>0</v>
      </c>
      <c r="T33" s="485">
        <v>0</v>
      </c>
      <c r="U33" s="485">
        <v>0</v>
      </c>
      <c r="V33" s="485">
        <v>0</v>
      </c>
      <c r="W33" s="485">
        <v>0</v>
      </c>
      <c r="X33" s="485">
        <v>1</v>
      </c>
      <c r="Y33" s="486">
        <v>0</v>
      </c>
    </row>
    <row r="34" spans="2:25" s="3" customFormat="1" ht="21.75" customHeight="1">
      <c r="B34" s="993"/>
      <c r="C34" s="125" t="s">
        <v>4</v>
      </c>
      <c r="D34" s="315">
        <f>SUM(F34,H34)</f>
        <v>1420</v>
      </c>
      <c r="E34" s="315">
        <f>SUM(G34,I34)</f>
        <v>390</v>
      </c>
      <c r="F34" s="305">
        <f aca="true" t="shared" si="13" ref="F34:K34">SUM(F29:F33)</f>
        <v>1416</v>
      </c>
      <c r="G34" s="305">
        <f t="shared" si="13"/>
        <v>389</v>
      </c>
      <c r="H34" s="305">
        <f t="shared" si="13"/>
        <v>4</v>
      </c>
      <c r="I34" s="305">
        <f t="shared" si="13"/>
        <v>1</v>
      </c>
      <c r="J34" s="305">
        <f>SUM(J29:J33)</f>
        <v>2</v>
      </c>
      <c r="K34" s="305">
        <f t="shared" si="13"/>
        <v>0</v>
      </c>
      <c r="L34" s="312">
        <f t="shared" si="10"/>
        <v>50</v>
      </c>
      <c r="M34" s="312">
        <f t="shared" si="8"/>
        <v>0</v>
      </c>
      <c r="N34" s="305">
        <f>SUM(N29:N33)</f>
        <v>1</v>
      </c>
      <c r="O34" s="305">
        <f aca="true" t="shared" si="14" ref="O34:Y34">SUM(O29:O33)</f>
        <v>0</v>
      </c>
      <c r="P34" s="305">
        <f t="shared" si="14"/>
        <v>0</v>
      </c>
      <c r="Q34" s="305">
        <f t="shared" si="14"/>
        <v>0</v>
      </c>
      <c r="R34" s="305">
        <f t="shared" si="14"/>
        <v>0</v>
      </c>
      <c r="S34" s="305">
        <f t="shared" si="14"/>
        <v>0</v>
      </c>
      <c r="T34" s="305">
        <f t="shared" si="14"/>
        <v>0</v>
      </c>
      <c r="U34" s="305">
        <f t="shared" si="14"/>
        <v>0</v>
      </c>
      <c r="V34" s="305">
        <f>SUM(V29:V33)</f>
        <v>0</v>
      </c>
      <c r="W34" s="305">
        <f t="shared" si="14"/>
        <v>0</v>
      </c>
      <c r="X34" s="305">
        <f>SUM(X29:X33)</f>
        <v>1</v>
      </c>
      <c r="Y34" s="316">
        <f t="shared" si="14"/>
        <v>0</v>
      </c>
    </row>
    <row r="35" spans="2:25" s="3" customFormat="1" ht="21.75" customHeight="1">
      <c r="B35" s="995" t="s">
        <v>73</v>
      </c>
      <c r="C35" s="996"/>
      <c r="D35" s="317">
        <f aca="true" t="shared" si="15" ref="D35:K35">SUM(D28,D34)</f>
        <v>2039</v>
      </c>
      <c r="E35" s="317">
        <f t="shared" si="15"/>
        <v>515</v>
      </c>
      <c r="F35" s="317">
        <f t="shared" si="15"/>
        <v>2031</v>
      </c>
      <c r="G35" s="317">
        <f t="shared" si="15"/>
        <v>514</v>
      </c>
      <c r="H35" s="317">
        <f t="shared" si="15"/>
        <v>8</v>
      </c>
      <c r="I35" s="317">
        <f t="shared" si="15"/>
        <v>1</v>
      </c>
      <c r="J35" s="317">
        <f>SUM(J28,J34)</f>
        <v>4</v>
      </c>
      <c r="K35" s="317">
        <f t="shared" si="15"/>
        <v>0</v>
      </c>
      <c r="L35" s="318">
        <f t="shared" si="10"/>
        <v>50</v>
      </c>
      <c r="M35" s="317">
        <f t="shared" si="8"/>
        <v>0</v>
      </c>
      <c r="N35" s="319">
        <f>SUM(N28,N34)</f>
        <v>1</v>
      </c>
      <c r="O35" s="317">
        <f aca="true" t="shared" si="16" ref="O35:Y35">SUM(O28,O34)</f>
        <v>0</v>
      </c>
      <c r="P35" s="317">
        <f t="shared" si="16"/>
        <v>0</v>
      </c>
      <c r="Q35" s="317">
        <f t="shared" si="16"/>
        <v>0</v>
      </c>
      <c r="R35" s="317">
        <f t="shared" si="16"/>
        <v>0</v>
      </c>
      <c r="S35" s="317">
        <f t="shared" si="16"/>
        <v>0</v>
      </c>
      <c r="T35" s="317">
        <f t="shared" si="16"/>
        <v>0</v>
      </c>
      <c r="U35" s="317">
        <f t="shared" si="16"/>
        <v>0</v>
      </c>
      <c r="V35" s="317">
        <f>SUM(V28,V34)</f>
        <v>0</v>
      </c>
      <c r="W35" s="317">
        <f t="shared" si="16"/>
        <v>0</v>
      </c>
      <c r="X35" s="317">
        <f>SUM(X28,X34)</f>
        <v>3</v>
      </c>
      <c r="Y35" s="320">
        <f t="shared" si="16"/>
        <v>0</v>
      </c>
    </row>
    <row r="97" ht="15" customHeight="1"/>
    <row r="98" ht="15" customHeight="1"/>
    <row r="99" ht="15" customHeight="1"/>
    <row r="100" ht="15" customHeight="1"/>
    <row r="101" ht="15" customHeight="1"/>
    <row r="102" ht="15" customHeight="1"/>
  </sheetData>
  <sheetProtection/>
  <mergeCells count="36">
    <mergeCell ref="X21:Y21"/>
    <mergeCell ref="A1:M1"/>
    <mergeCell ref="B2:B4"/>
    <mergeCell ref="C2:C4"/>
    <mergeCell ref="D2:E3"/>
    <mergeCell ref="F2:G3"/>
    <mergeCell ref="H2:I3"/>
    <mergeCell ref="J2:K3"/>
    <mergeCell ref="L2:M3"/>
    <mergeCell ref="N2:Y2"/>
    <mergeCell ref="N3:O3"/>
    <mergeCell ref="P3:Q3"/>
    <mergeCell ref="R3:S3"/>
    <mergeCell ref="T3:U3"/>
    <mergeCell ref="V3:W3"/>
    <mergeCell ref="X3:Y3"/>
    <mergeCell ref="B5:B10"/>
    <mergeCell ref="B11:B16"/>
    <mergeCell ref="B17:C17"/>
    <mergeCell ref="A19:M19"/>
    <mergeCell ref="B20:B22"/>
    <mergeCell ref="C20:C22"/>
    <mergeCell ref="D20:E21"/>
    <mergeCell ref="F20:G21"/>
    <mergeCell ref="H20:I21"/>
    <mergeCell ref="J20:K21"/>
    <mergeCell ref="B23:B28"/>
    <mergeCell ref="B29:B34"/>
    <mergeCell ref="B35:C35"/>
    <mergeCell ref="L20:M21"/>
    <mergeCell ref="N20:Y20"/>
    <mergeCell ref="N21:O21"/>
    <mergeCell ref="P21:Q21"/>
    <mergeCell ref="R21:S21"/>
    <mergeCell ref="T21:U21"/>
    <mergeCell ref="V21:W21"/>
  </mergeCells>
  <printOptions horizontalCentered="1" verticalCentered="1"/>
  <pageMargins left="0.8661417322834646" right="0.1968503937007874" top="0.35433070866141736" bottom="0.3937007874015748" header="0.31496062992125984" footer="0.31496062992125984"/>
  <pageSetup firstPageNumber="86" useFirstPageNumber="1" fitToHeight="1" fitToWidth="1" horizontalDpi="600" verticalDpi="600" orientation="landscape" paperSize="9" scale="74"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I52"/>
  <sheetViews>
    <sheetView showGridLines="0" view="pageBreakPreview" zoomScaleNormal="115" zoomScaleSheetLayoutView="100" zoomScalePageLayoutView="0" workbookViewId="0" topLeftCell="A39">
      <selection activeCell="G9" sqref="G9"/>
    </sheetView>
  </sheetViews>
  <sheetFormatPr defaultColWidth="9.00390625" defaultRowHeight="19.5" customHeight="1"/>
  <cols>
    <col min="1" max="1" width="1.625" style="1" customWidth="1"/>
    <col min="2" max="2" width="5.50390625" style="1" bestFit="1" customWidth="1"/>
    <col min="3" max="3" width="13.875" style="1" bestFit="1" customWidth="1"/>
    <col min="4" max="9" width="12.625" style="1" customWidth="1"/>
    <col min="10" max="25" width="7.125" style="1" customWidth="1"/>
    <col min="26" max="16384" width="9.00390625" style="1" customWidth="1"/>
  </cols>
  <sheetData>
    <row r="1" spans="1:8" ht="19.5" customHeight="1">
      <c r="A1" s="2" t="s">
        <v>548</v>
      </c>
      <c r="B1" s="2"/>
      <c r="C1" s="2"/>
      <c r="D1" s="2"/>
      <c r="E1" s="2"/>
      <c r="F1" s="2"/>
      <c r="G1" s="2"/>
      <c r="H1" s="30"/>
    </row>
    <row r="2" spans="2:8" s="3" customFormat="1" ht="13.5">
      <c r="B2" s="894" t="s">
        <v>76</v>
      </c>
      <c r="C2" s="856" t="s">
        <v>74</v>
      </c>
      <c r="D2" s="1009" t="s">
        <v>54</v>
      </c>
      <c r="E2" s="997" t="s">
        <v>128</v>
      </c>
      <c r="F2" s="997"/>
      <c r="G2" s="997"/>
      <c r="H2" s="856"/>
    </row>
    <row r="3" spans="2:8" s="3" customFormat="1" ht="63" customHeight="1">
      <c r="B3" s="907"/>
      <c r="C3" s="893"/>
      <c r="D3" s="799"/>
      <c r="E3" s="42" t="s">
        <v>75</v>
      </c>
      <c r="F3" s="42" t="s">
        <v>129</v>
      </c>
      <c r="G3" s="42" t="s">
        <v>130</v>
      </c>
      <c r="H3" s="32" t="s">
        <v>131</v>
      </c>
    </row>
    <row r="4" spans="2:8" s="3" customFormat="1" ht="21.75" customHeight="1">
      <c r="B4" s="877" t="s">
        <v>70</v>
      </c>
      <c r="C4" s="43" t="s">
        <v>479</v>
      </c>
      <c r="D4" s="221">
        <f aca="true" t="shared" si="0" ref="D4:D10">SUM(E4:H4)</f>
        <v>258</v>
      </c>
      <c r="E4" s="218">
        <f>47+16+29+35+40</f>
        <v>167</v>
      </c>
      <c r="F4" s="218">
        <f>10+9+18+24+20</f>
        <v>81</v>
      </c>
      <c r="G4" s="218">
        <f>1+1+1+3+4</f>
        <v>10</v>
      </c>
      <c r="H4" s="220">
        <v>0</v>
      </c>
    </row>
    <row r="5" spans="2:8" s="3" customFormat="1" ht="21.75" customHeight="1">
      <c r="B5" s="878"/>
      <c r="C5" s="36" t="s">
        <v>480</v>
      </c>
      <c r="D5" s="221">
        <f t="shared" si="0"/>
        <v>415</v>
      </c>
      <c r="E5" s="222">
        <f>60+69+53+21+23</f>
        <v>226</v>
      </c>
      <c r="F5" s="222">
        <f>26+42+32+15+33</f>
        <v>148</v>
      </c>
      <c r="G5" s="222">
        <f>4+12+9+5+9</f>
        <v>39</v>
      </c>
      <c r="H5" s="223">
        <f>2</f>
        <v>2</v>
      </c>
    </row>
    <row r="6" spans="2:8" s="3" customFormat="1" ht="21.75" customHeight="1">
      <c r="B6" s="879"/>
      <c r="C6" s="34" t="s">
        <v>71</v>
      </c>
      <c r="D6" s="232">
        <f t="shared" si="0"/>
        <v>673</v>
      </c>
      <c r="E6" s="233">
        <f>SUM(E4:E5)</f>
        <v>393</v>
      </c>
      <c r="F6" s="233">
        <f>SUM(F4:F5)</f>
        <v>229</v>
      </c>
      <c r="G6" s="233">
        <f>SUM(G4:G5)</f>
        <v>49</v>
      </c>
      <c r="H6" s="235">
        <f>SUM(H4:H5)</f>
        <v>2</v>
      </c>
    </row>
    <row r="7" spans="2:8" s="3" customFormat="1" ht="21.75" customHeight="1">
      <c r="B7" s="876" t="s">
        <v>72</v>
      </c>
      <c r="C7" s="43" t="s">
        <v>479</v>
      </c>
      <c r="D7" s="236">
        <f t="shared" si="0"/>
        <v>606</v>
      </c>
      <c r="E7" s="237">
        <f>190+41+89+61+84</f>
        <v>465</v>
      </c>
      <c r="F7" s="237">
        <f>26+15+25+29+30</f>
        <v>125</v>
      </c>
      <c r="G7" s="237">
        <f>4+1+4+3+3</f>
        <v>15</v>
      </c>
      <c r="H7" s="238">
        <v>1</v>
      </c>
    </row>
    <row r="8" spans="2:8" s="3" customFormat="1" ht="21.75" customHeight="1">
      <c r="B8" s="878"/>
      <c r="C8" s="36" t="s">
        <v>480</v>
      </c>
      <c r="D8" s="221">
        <f t="shared" si="0"/>
        <v>727</v>
      </c>
      <c r="E8" s="222">
        <f>123+121+83+49+75</f>
        <v>451</v>
      </c>
      <c r="F8" s="222">
        <f>49+50+41+35+47</f>
        <v>222</v>
      </c>
      <c r="G8" s="222">
        <f>10+9+8+6+17</f>
        <v>50</v>
      </c>
      <c r="H8" s="223">
        <f>1+1+1+1</f>
        <v>4</v>
      </c>
    </row>
    <row r="9" spans="2:8" s="3" customFormat="1" ht="21" customHeight="1">
      <c r="B9" s="880"/>
      <c r="C9" s="34" t="s">
        <v>71</v>
      </c>
      <c r="D9" s="224">
        <f t="shared" si="0"/>
        <v>1333</v>
      </c>
      <c r="E9" s="225">
        <f>SUM(E7:E8)</f>
        <v>916</v>
      </c>
      <c r="F9" s="225">
        <f>SUM(F7:F8)</f>
        <v>347</v>
      </c>
      <c r="G9" s="225">
        <f>SUM(G7:G8)</f>
        <v>65</v>
      </c>
      <c r="H9" s="227">
        <f>SUM(H7:H8)</f>
        <v>5</v>
      </c>
    </row>
    <row r="10" spans="2:8" s="3" customFormat="1" ht="21.75" customHeight="1">
      <c r="B10" s="889" t="s">
        <v>73</v>
      </c>
      <c r="C10" s="890"/>
      <c r="D10" s="321">
        <f t="shared" si="0"/>
        <v>2006</v>
      </c>
      <c r="E10" s="322">
        <f>E6+E9</f>
        <v>1309</v>
      </c>
      <c r="F10" s="322">
        <f>F6+F9</f>
        <v>576</v>
      </c>
      <c r="G10" s="322">
        <f>G6+G9</f>
        <v>114</v>
      </c>
      <c r="H10" s="323">
        <f>H6+H9</f>
        <v>7</v>
      </c>
    </row>
    <row r="11" spans="2:8" s="3" customFormat="1" ht="19.5" customHeight="1">
      <c r="B11" s="958" t="s">
        <v>481</v>
      </c>
      <c r="C11" s="958"/>
      <c r="D11" s="958"/>
      <c r="E11" s="958"/>
      <c r="F11" s="958"/>
      <c r="G11" s="958"/>
      <c r="H11" s="958"/>
    </row>
    <row r="13" spans="1:7" ht="19.5" customHeight="1">
      <c r="A13" s="2" t="s">
        <v>549</v>
      </c>
      <c r="B13" s="2"/>
      <c r="C13" s="2"/>
      <c r="D13" s="2"/>
      <c r="E13" s="2"/>
      <c r="F13" s="2"/>
      <c r="G13" s="30"/>
    </row>
    <row r="14" spans="2:7" s="3" customFormat="1" ht="22.5" customHeight="1">
      <c r="B14" s="894" t="s">
        <v>76</v>
      </c>
      <c r="C14" s="856" t="s">
        <v>74</v>
      </c>
      <c r="D14" s="1009" t="s">
        <v>54</v>
      </c>
      <c r="E14" s="997" t="s">
        <v>128</v>
      </c>
      <c r="F14" s="997"/>
      <c r="G14" s="856"/>
    </row>
    <row r="15" spans="2:7" s="3" customFormat="1" ht="34.5" customHeight="1">
      <c r="B15" s="907"/>
      <c r="C15" s="893"/>
      <c r="D15" s="799"/>
      <c r="E15" s="42" t="s">
        <v>75</v>
      </c>
      <c r="F15" s="42" t="s">
        <v>142</v>
      </c>
      <c r="G15" s="32" t="s">
        <v>143</v>
      </c>
    </row>
    <row r="16" spans="2:7" s="3" customFormat="1" ht="21" customHeight="1">
      <c r="B16" s="877" t="s">
        <v>70</v>
      </c>
      <c r="C16" s="44" t="s">
        <v>117</v>
      </c>
      <c r="D16" s="217">
        <f aca="true" t="shared" si="1" ref="D16:D23">SUM(E16:G16)</f>
        <v>44</v>
      </c>
      <c r="E16" s="218">
        <v>27</v>
      </c>
      <c r="F16" s="218">
        <v>5</v>
      </c>
      <c r="G16" s="220">
        <v>12</v>
      </c>
    </row>
    <row r="17" spans="2:7" s="3" customFormat="1" ht="21" customHeight="1">
      <c r="B17" s="877"/>
      <c r="C17" s="45" t="s">
        <v>118</v>
      </c>
      <c r="D17" s="221">
        <f t="shared" si="1"/>
        <v>45</v>
      </c>
      <c r="E17" s="222">
        <v>35</v>
      </c>
      <c r="F17" s="222">
        <v>2</v>
      </c>
      <c r="G17" s="223">
        <v>8</v>
      </c>
    </row>
    <row r="18" spans="2:7" s="3" customFormat="1" ht="21" customHeight="1">
      <c r="B18" s="878"/>
      <c r="C18" s="45" t="s">
        <v>119</v>
      </c>
      <c r="D18" s="221">
        <f t="shared" si="1"/>
        <v>60</v>
      </c>
      <c r="E18" s="222">
        <v>36</v>
      </c>
      <c r="F18" s="222">
        <v>9</v>
      </c>
      <c r="G18" s="223">
        <v>15</v>
      </c>
    </row>
    <row r="19" spans="2:7" s="3" customFormat="1" ht="21" customHeight="1">
      <c r="B19" s="879"/>
      <c r="C19" s="45" t="s">
        <v>120</v>
      </c>
      <c r="D19" s="221">
        <f>SUM(E19:G19)</f>
        <v>138</v>
      </c>
      <c r="E19" s="222">
        <v>66</v>
      </c>
      <c r="F19" s="222">
        <v>32</v>
      </c>
      <c r="G19" s="223">
        <v>40</v>
      </c>
    </row>
    <row r="20" spans="2:7" s="3" customFormat="1" ht="21" customHeight="1">
      <c r="B20" s="879"/>
      <c r="C20" s="34" t="s">
        <v>71</v>
      </c>
      <c r="D20" s="232">
        <f>SUM(E20:G20)</f>
        <v>287</v>
      </c>
      <c r="E20" s="233">
        <f>SUM(E16:E19)</f>
        <v>164</v>
      </c>
      <c r="F20" s="233">
        <f>SUM(F16:F19)</f>
        <v>48</v>
      </c>
      <c r="G20" s="235">
        <f>SUM(G16:G19)</f>
        <v>75</v>
      </c>
    </row>
    <row r="21" spans="2:7" s="3" customFormat="1" ht="21" customHeight="1">
      <c r="B21" s="876" t="s">
        <v>72</v>
      </c>
      <c r="C21" s="44" t="s">
        <v>117</v>
      </c>
      <c r="D21" s="236">
        <f t="shared" si="1"/>
        <v>284</v>
      </c>
      <c r="E21" s="237">
        <v>223</v>
      </c>
      <c r="F21" s="237">
        <v>16</v>
      </c>
      <c r="G21" s="238">
        <v>45</v>
      </c>
    </row>
    <row r="22" spans="2:7" s="3" customFormat="1" ht="21" customHeight="1">
      <c r="B22" s="877"/>
      <c r="C22" s="45" t="s">
        <v>118</v>
      </c>
      <c r="D22" s="221">
        <f t="shared" si="1"/>
        <v>234</v>
      </c>
      <c r="E22" s="222">
        <v>166</v>
      </c>
      <c r="F22" s="222">
        <v>23</v>
      </c>
      <c r="G22" s="223">
        <v>45</v>
      </c>
    </row>
    <row r="23" spans="2:7" s="3" customFormat="1" ht="21" customHeight="1">
      <c r="B23" s="878"/>
      <c r="C23" s="45" t="s">
        <v>119</v>
      </c>
      <c r="D23" s="221">
        <f t="shared" si="1"/>
        <v>381</v>
      </c>
      <c r="E23" s="222">
        <v>259</v>
      </c>
      <c r="F23" s="222">
        <v>56</v>
      </c>
      <c r="G23" s="223">
        <v>66</v>
      </c>
    </row>
    <row r="24" spans="2:7" s="3" customFormat="1" ht="21" customHeight="1">
      <c r="B24" s="879"/>
      <c r="C24" s="45" t="s">
        <v>120</v>
      </c>
      <c r="D24" s="221">
        <f>SUM(E24:G24)</f>
        <v>440</v>
      </c>
      <c r="E24" s="222">
        <v>251</v>
      </c>
      <c r="F24" s="222">
        <v>97</v>
      </c>
      <c r="G24" s="223">
        <v>92</v>
      </c>
    </row>
    <row r="25" spans="2:7" s="3" customFormat="1" ht="21" customHeight="1">
      <c r="B25" s="880"/>
      <c r="C25" s="34" t="s">
        <v>71</v>
      </c>
      <c r="D25" s="224">
        <f>SUM(E25:G25)</f>
        <v>1339</v>
      </c>
      <c r="E25" s="225">
        <f>SUM(E21:E24)</f>
        <v>899</v>
      </c>
      <c r="F25" s="225">
        <f>SUM(F21:F24)</f>
        <v>192</v>
      </c>
      <c r="G25" s="227">
        <f>SUM(G21:G24)</f>
        <v>248</v>
      </c>
    </row>
    <row r="26" spans="2:7" s="3" customFormat="1" ht="21" customHeight="1">
      <c r="B26" s="889" t="s">
        <v>73</v>
      </c>
      <c r="C26" s="890"/>
      <c r="D26" s="321">
        <f>SUM(E26:G26)</f>
        <v>1626</v>
      </c>
      <c r="E26" s="322">
        <f>E20+E25</f>
        <v>1063</v>
      </c>
      <c r="F26" s="322">
        <f>F20+F25</f>
        <v>240</v>
      </c>
      <c r="G26" s="323">
        <f>G20+G25</f>
        <v>323</v>
      </c>
    </row>
    <row r="27" spans="2:7" s="3" customFormat="1" ht="19.5" customHeight="1">
      <c r="B27" s="958" t="s">
        <v>132</v>
      </c>
      <c r="C27" s="958"/>
      <c r="D27" s="958"/>
      <c r="E27" s="958"/>
      <c r="F27" s="958"/>
      <c r="G27" s="958"/>
    </row>
    <row r="28" s="3" customFormat="1" ht="12.75" customHeight="1"/>
    <row r="29" spans="1:8" s="3" customFormat="1" ht="19.5" customHeight="1">
      <c r="A29" s="2" t="s">
        <v>550</v>
      </c>
      <c r="G29" s="97"/>
      <c r="H29" s="97"/>
    </row>
    <row r="30" spans="2:9" s="3" customFormat="1" ht="19.5" customHeight="1">
      <c r="B30" s="1015" t="s">
        <v>76</v>
      </c>
      <c r="C30" s="1016" t="s">
        <v>74</v>
      </c>
      <c r="D30" s="1016" t="s">
        <v>54</v>
      </c>
      <c r="E30" s="1000" t="s">
        <v>303</v>
      </c>
      <c r="F30" s="1000"/>
      <c r="G30" s="1000"/>
      <c r="H30" s="1000"/>
      <c r="I30" s="1000"/>
    </row>
    <row r="31" spans="2:9" ht="19.5" customHeight="1">
      <c r="B31" s="1016"/>
      <c r="C31" s="1016"/>
      <c r="D31" s="1016"/>
      <c r="E31" s="177" t="s">
        <v>304</v>
      </c>
      <c r="F31" s="177" t="s">
        <v>305</v>
      </c>
      <c r="G31" s="177" t="s">
        <v>306</v>
      </c>
      <c r="H31" s="177" t="s">
        <v>307</v>
      </c>
      <c r="I31" s="177" t="s">
        <v>524</v>
      </c>
    </row>
    <row r="32" spans="2:9" ht="19.5" customHeight="1">
      <c r="B32" s="1004" t="s">
        <v>49</v>
      </c>
      <c r="C32" s="99" t="s">
        <v>121</v>
      </c>
      <c r="D32" s="324">
        <f>SUM(E32:I32)</f>
        <v>774</v>
      </c>
      <c r="E32" s="324">
        <v>569</v>
      </c>
      <c r="F32" s="324">
        <v>163</v>
      </c>
      <c r="G32" s="324">
        <v>34</v>
      </c>
      <c r="H32" s="324">
        <v>6</v>
      </c>
      <c r="I32" s="324">
        <v>2</v>
      </c>
    </row>
    <row r="33" spans="2:9" ht="19.5" customHeight="1">
      <c r="B33" s="1005"/>
      <c r="C33" s="126" t="s">
        <v>330</v>
      </c>
      <c r="D33" s="325">
        <f>SUM(E33:I33)</f>
        <v>452</v>
      </c>
      <c r="E33" s="325">
        <v>345</v>
      </c>
      <c r="F33" s="325">
        <v>86</v>
      </c>
      <c r="G33" s="325">
        <v>18</v>
      </c>
      <c r="H33" s="325">
        <v>3</v>
      </c>
      <c r="I33" s="503">
        <v>0</v>
      </c>
    </row>
    <row r="34" spans="2:9" ht="19.5" customHeight="1">
      <c r="B34" s="1005"/>
      <c r="C34" s="126" t="s">
        <v>302</v>
      </c>
      <c r="D34" s="325">
        <f>SUM(E34:I34)</f>
        <v>785</v>
      </c>
      <c r="E34" s="325">
        <v>600</v>
      </c>
      <c r="F34" s="325">
        <v>163</v>
      </c>
      <c r="G34" s="325">
        <v>19</v>
      </c>
      <c r="H34" s="325">
        <v>2</v>
      </c>
      <c r="I34" s="325">
        <v>1</v>
      </c>
    </row>
    <row r="35" spans="2:9" ht="19.5" customHeight="1">
      <c r="B35" s="1006"/>
      <c r="C35" s="33" t="s">
        <v>71</v>
      </c>
      <c r="D35" s="326">
        <f aca="true" t="shared" si="2" ref="D35:I35">SUM(D32:D34)</f>
        <v>2011</v>
      </c>
      <c r="E35" s="326">
        <f t="shared" si="2"/>
        <v>1514</v>
      </c>
      <c r="F35" s="326">
        <f t="shared" si="2"/>
        <v>412</v>
      </c>
      <c r="G35" s="326">
        <f t="shared" si="2"/>
        <v>71</v>
      </c>
      <c r="H35" s="326">
        <f t="shared" si="2"/>
        <v>11</v>
      </c>
      <c r="I35" s="326">
        <f t="shared" si="2"/>
        <v>3</v>
      </c>
    </row>
    <row r="36" spans="2:9" ht="19.5" customHeight="1">
      <c r="B36" s="1001" t="s">
        <v>50</v>
      </c>
      <c r="C36" s="127" t="s">
        <v>121</v>
      </c>
      <c r="D36" s="327">
        <f>SUM(E36:I36)</f>
        <v>1185</v>
      </c>
      <c r="E36" s="327">
        <v>864</v>
      </c>
      <c r="F36" s="327">
        <v>298</v>
      </c>
      <c r="G36" s="327">
        <v>16</v>
      </c>
      <c r="H36" s="327">
        <v>6</v>
      </c>
      <c r="I36" s="327">
        <v>1</v>
      </c>
    </row>
    <row r="37" spans="2:9" ht="19.5" customHeight="1">
      <c r="B37" s="1002"/>
      <c r="C37" s="126" t="s">
        <v>330</v>
      </c>
      <c r="D37" s="325">
        <f>SUM(E37:I37)</f>
        <v>677</v>
      </c>
      <c r="E37" s="325">
        <v>491</v>
      </c>
      <c r="F37" s="325">
        <v>160</v>
      </c>
      <c r="G37" s="325">
        <v>23</v>
      </c>
      <c r="H37" s="325">
        <v>2</v>
      </c>
      <c r="I37" s="325">
        <v>1</v>
      </c>
    </row>
    <row r="38" spans="2:9" ht="19.5" customHeight="1">
      <c r="B38" s="1002"/>
      <c r="C38" s="126" t="s">
        <v>302</v>
      </c>
      <c r="D38" s="325">
        <f>SUM(E38:I38)</f>
        <v>1108</v>
      </c>
      <c r="E38" s="325">
        <v>793</v>
      </c>
      <c r="F38" s="325">
        <v>286</v>
      </c>
      <c r="G38" s="325">
        <v>13</v>
      </c>
      <c r="H38" s="325">
        <v>8</v>
      </c>
      <c r="I38" s="325">
        <v>8</v>
      </c>
    </row>
    <row r="39" spans="2:9" ht="19.5" customHeight="1">
      <c r="B39" s="1003"/>
      <c r="C39" s="128" t="s">
        <v>71</v>
      </c>
      <c r="D39" s="325">
        <f aca="true" t="shared" si="3" ref="D39:I39">SUM(D36:D38)</f>
        <v>2970</v>
      </c>
      <c r="E39" s="325">
        <f t="shared" si="3"/>
        <v>2148</v>
      </c>
      <c r="F39" s="325">
        <f t="shared" si="3"/>
        <v>744</v>
      </c>
      <c r="G39" s="325">
        <f t="shared" si="3"/>
        <v>52</v>
      </c>
      <c r="H39" s="325">
        <f t="shared" si="3"/>
        <v>16</v>
      </c>
      <c r="I39" s="325">
        <f t="shared" si="3"/>
        <v>10</v>
      </c>
    </row>
    <row r="40" spans="1:9" ht="19.5" customHeight="1">
      <c r="A40" s="97"/>
      <c r="B40" s="1007" t="s">
        <v>308</v>
      </c>
      <c r="C40" s="1008"/>
      <c r="D40" s="328">
        <f aca="true" t="shared" si="4" ref="D40:I40">D35+D39</f>
        <v>4981</v>
      </c>
      <c r="E40" s="328">
        <f t="shared" si="4"/>
        <v>3662</v>
      </c>
      <c r="F40" s="328">
        <f t="shared" si="4"/>
        <v>1156</v>
      </c>
      <c r="G40" s="328">
        <f t="shared" si="4"/>
        <v>123</v>
      </c>
      <c r="H40" s="328">
        <f t="shared" si="4"/>
        <v>27</v>
      </c>
      <c r="I40" s="328">
        <f t="shared" si="4"/>
        <v>13</v>
      </c>
    </row>
    <row r="41" spans="1:8" ht="19.5" customHeight="1">
      <c r="A41" s="97"/>
      <c r="B41" s="97"/>
      <c r="C41" s="97"/>
      <c r="D41" s="97"/>
      <c r="E41" s="97"/>
      <c r="F41" s="97"/>
      <c r="G41" s="97"/>
      <c r="H41" s="97"/>
    </row>
    <row r="42" spans="1:9" ht="19.5" customHeight="1">
      <c r="A42" s="97"/>
      <c r="B42" s="1015" t="s">
        <v>76</v>
      </c>
      <c r="C42" s="1016" t="s">
        <v>74</v>
      </c>
      <c r="D42" s="1016" t="s">
        <v>54</v>
      </c>
      <c r="E42" s="1010" t="s">
        <v>309</v>
      </c>
      <c r="F42" s="1011"/>
      <c r="G42" s="1011"/>
      <c r="H42" s="1011"/>
      <c r="I42" s="1012"/>
    </row>
    <row r="43" spans="1:9" ht="19.5" customHeight="1">
      <c r="A43" s="97"/>
      <c r="B43" s="1016"/>
      <c r="C43" s="1016"/>
      <c r="D43" s="1016"/>
      <c r="E43" s="209" t="s">
        <v>304</v>
      </c>
      <c r="F43" s="209" t="s">
        <v>305</v>
      </c>
      <c r="G43" s="209" t="s">
        <v>306</v>
      </c>
      <c r="H43" s="209" t="s">
        <v>310</v>
      </c>
      <c r="I43" s="216" t="s">
        <v>566</v>
      </c>
    </row>
    <row r="44" spans="1:9" ht="19.5" customHeight="1">
      <c r="A44" s="97"/>
      <c r="B44" s="1004" t="s">
        <v>49</v>
      </c>
      <c r="C44" s="99" t="s">
        <v>121</v>
      </c>
      <c r="D44" s="324">
        <f>SUM(E44:I44)</f>
        <v>137</v>
      </c>
      <c r="E44" s="487">
        <v>122</v>
      </c>
      <c r="F44" s="487">
        <v>10</v>
      </c>
      <c r="G44" s="487">
        <v>5</v>
      </c>
      <c r="H44" s="504">
        <v>0</v>
      </c>
      <c r="I44" s="504">
        <v>0</v>
      </c>
    </row>
    <row r="45" spans="1:9" ht="19.5" customHeight="1">
      <c r="A45" s="97"/>
      <c r="B45" s="1005"/>
      <c r="C45" s="126" t="s">
        <v>330</v>
      </c>
      <c r="D45" s="325">
        <f>SUM(E45:I45)</f>
        <v>68</v>
      </c>
      <c r="E45" s="488">
        <v>59</v>
      </c>
      <c r="F45" s="488">
        <v>5</v>
      </c>
      <c r="G45" s="488">
        <v>4</v>
      </c>
      <c r="H45" s="505">
        <v>0</v>
      </c>
      <c r="I45" s="505">
        <v>0</v>
      </c>
    </row>
    <row r="46" spans="2:9" ht="19.5" customHeight="1">
      <c r="B46" s="1005"/>
      <c r="C46" s="126" t="s">
        <v>302</v>
      </c>
      <c r="D46" s="325">
        <f>SUM(E46:I46)</f>
        <v>132</v>
      </c>
      <c r="E46" s="489">
        <v>108</v>
      </c>
      <c r="F46" s="489">
        <v>13</v>
      </c>
      <c r="G46" s="489">
        <v>6</v>
      </c>
      <c r="H46" s="489">
        <v>5</v>
      </c>
      <c r="I46" s="506">
        <v>0</v>
      </c>
    </row>
    <row r="47" spans="2:9" ht="19.5" customHeight="1">
      <c r="B47" s="1006"/>
      <c r="C47" s="33" t="s">
        <v>71</v>
      </c>
      <c r="D47" s="329">
        <f aca="true" t="shared" si="5" ref="D47:I47">SUM(D44:D46)</f>
        <v>337</v>
      </c>
      <c r="E47" s="326">
        <f t="shared" si="5"/>
        <v>289</v>
      </c>
      <c r="F47" s="326">
        <f t="shared" si="5"/>
        <v>28</v>
      </c>
      <c r="G47" s="326">
        <f t="shared" si="5"/>
        <v>15</v>
      </c>
      <c r="H47" s="326">
        <f t="shared" si="5"/>
        <v>5</v>
      </c>
      <c r="I47" s="507">
        <f t="shared" si="5"/>
        <v>0</v>
      </c>
    </row>
    <row r="48" spans="1:9" ht="19.5" customHeight="1">
      <c r="A48" s="97"/>
      <c r="B48" s="1001" t="s">
        <v>50</v>
      </c>
      <c r="C48" s="127" t="s">
        <v>121</v>
      </c>
      <c r="D48" s="324">
        <f>SUM(E48:I48)</f>
        <v>234</v>
      </c>
      <c r="E48" s="487">
        <v>218</v>
      </c>
      <c r="F48" s="487">
        <v>9</v>
      </c>
      <c r="G48" s="487">
        <v>5</v>
      </c>
      <c r="H48" s="487">
        <v>2</v>
      </c>
      <c r="I48" s="504">
        <v>0</v>
      </c>
    </row>
    <row r="49" spans="2:9" ht="19.5" customHeight="1">
      <c r="B49" s="1002"/>
      <c r="C49" s="126" t="s">
        <v>330</v>
      </c>
      <c r="D49" s="325">
        <f>SUM(E49:I49)</f>
        <v>134</v>
      </c>
      <c r="E49" s="488">
        <v>124</v>
      </c>
      <c r="F49" s="488">
        <v>3</v>
      </c>
      <c r="G49" s="488">
        <v>4</v>
      </c>
      <c r="H49" s="488">
        <v>3</v>
      </c>
      <c r="I49" s="505">
        <v>0</v>
      </c>
    </row>
    <row r="50" spans="2:9" ht="19.5" customHeight="1">
      <c r="B50" s="1002"/>
      <c r="C50" s="100" t="s">
        <v>302</v>
      </c>
      <c r="D50" s="325">
        <f>SUM(E50:I50)</f>
        <v>236</v>
      </c>
      <c r="E50" s="490">
        <v>209</v>
      </c>
      <c r="F50" s="490">
        <v>15</v>
      </c>
      <c r="G50" s="490">
        <v>8</v>
      </c>
      <c r="H50" s="490">
        <v>4</v>
      </c>
      <c r="I50" s="508">
        <v>0</v>
      </c>
    </row>
    <row r="51" spans="2:9" ht="19.5" customHeight="1">
      <c r="B51" s="1003"/>
      <c r="C51" s="128" t="s">
        <v>71</v>
      </c>
      <c r="D51" s="326">
        <f>SUM(D48:D50)</f>
        <v>604</v>
      </c>
      <c r="E51" s="326">
        <f>SUM(E48:E50)</f>
        <v>551</v>
      </c>
      <c r="F51" s="326">
        <f>SUM(F48:F50)</f>
        <v>27</v>
      </c>
      <c r="G51" s="326">
        <f>SUM(G48:G50)</f>
        <v>17</v>
      </c>
      <c r="H51" s="326">
        <f>SUM(H48:H50)</f>
        <v>9</v>
      </c>
      <c r="I51" s="507">
        <v>0</v>
      </c>
    </row>
    <row r="52" spans="2:9" ht="19.5" customHeight="1">
      <c r="B52" s="1013" t="s">
        <v>308</v>
      </c>
      <c r="C52" s="1014"/>
      <c r="D52" s="328">
        <f aca="true" t="shared" si="6" ref="D52:I52">D47+D51</f>
        <v>941</v>
      </c>
      <c r="E52" s="328">
        <f t="shared" si="6"/>
        <v>840</v>
      </c>
      <c r="F52" s="328">
        <f t="shared" si="6"/>
        <v>55</v>
      </c>
      <c r="G52" s="328">
        <f t="shared" si="6"/>
        <v>32</v>
      </c>
      <c r="H52" s="328">
        <f t="shared" si="6"/>
        <v>14</v>
      </c>
      <c r="I52" s="509">
        <f t="shared" si="6"/>
        <v>0</v>
      </c>
    </row>
    <row r="95" ht="15" customHeight="1"/>
    <row r="96" ht="15" customHeight="1"/>
    <row r="97" ht="15" customHeight="1"/>
    <row r="98" ht="15" customHeight="1"/>
    <row r="99" ht="15" customHeight="1"/>
    <row r="100" ht="15" customHeight="1"/>
  </sheetData>
  <sheetProtection/>
  <mergeCells count="30">
    <mergeCell ref="E42:I42"/>
    <mergeCell ref="B7:B9"/>
    <mergeCell ref="B52:C52"/>
    <mergeCell ref="B42:B43"/>
    <mergeCell ref="C42:C43"/>
    <mergeCell ref="D42:D43"/>
    <mergeCell ref="B30:B31"/>
    <mergeCell ref="C30:C31"/>
    <mergeCell ref="D30:D31"/>
    <mergeCell ref="B32:B35"/>
    <mergeCell ref="B21:B25"/>
    <mergeCell ref="B26:C26"/>
    <mergeCell ref="B27:G27"/>
    <mergeCell ref="B10:C10"/>
    <mergeCell ref="B11:H11"/>
    <mergeCell ref="D2:D3"/>
    <mergeCell ref="E2:H2"/>
    <mergeCell ref="B2:B3"/>
    <mergeCell ref="C2:C3"/>
    <mergeCell ref="B4:B6"/>
    <mergeCell ref="E30:I30"/>
    <mergeCell ref="B36:B39"/>
    <mergeCell ref="B44:B47"/>
    <mergeCell ref="B48:B51"/>
    <mergeCell ref="B14:B15"/>
    <mergeCell ref="C14:C15"/>
    <mergeCell ref="B40:C40"/>
    <mergeCell ref="D14:D15"/>
    <mergeCell ref="E14:G14"/>
    <mergeCell ref="B16:B20"/>
  </mergeCells>
  <printOptions/>
  <pageMargins left="0.7086614173228347" right="0.7086614173228347" top="0.7480314960629921" bottom="0.7480314960629921" header="0.31496062992125984" footer="0.31496062992125984"/>
  <pageSetup firstPageNumber="87" useFirstPageNumber="1" horizontalDpi="600" verticalDpi="600" orientation="portrait" paperSize="9" scale="72"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53"/>
  <sheetViews>
    <sheetView showGridLines="0" view="pageBreakPreview" zoomScaleSheetLayoutView="100" zoomScalePageLayoutView="0" workbookViewId="0" topLeftCell="B1">
      <selection activeCell="E23" sqref="E23:G23"/>
    </sheetView>
  </sheetViews>
  <sheetFormatPr defaultColWidth="9.00390625" defaultRowHeight="15" customHeight="1"/>
  <cols>
    <col min="1" max="2" width="9.00390625" style="83" customWidth="1"/>
    <col min="3" max="3" width="10.50390625" style="83" customWidth="1"/>
    <col min="4" max="6" width="11.875" style="83" customWidth="1"/>
    <col min="7" max="7" width="13.875" style="83" customWidth="1"/>
    <col min="8" max="16384" width="9.00390625" style="83" customWidth="1"/>
  </cols>
  <sheetData>
    <row r="1" ht="18.75" customHeight="1">
      <c r="A1" s="82" t="s">
        <v>482</v>
      </c>
    </row>
    <row r="2" ht="14.25">
      <c r="A2" s="81"/>
    </row>
    <row r="3" ht="63" customHeight="1">
      <c r="A3" s="83" t="s">
        <v>193</v>
      </c>
    </row>
    <row r="4" ht="16.5" customHeight="1">
      <c r="A4" s="83" t="s">
        <v>194</v>
      </c>
    </row>
    <row r="5" ht="16.5" customHeight="1"/>
    <row r="6" spans="1:7" ht="14.25">
      <c r="A6" s="84" t="s">
        <v>345</v>
      </c>
      <c r="B6" s="84"/>
      <c r="C6" s="84"/>
      <c r="D6" s="84"/>
      <c r="E6" s="84"/>
      <c r="F6" s="84"/>
      <c r="G6" s="84"/>
    </row>
    <row r="7" spans="1:7" ht="12">
      <c r="A7" s="1025" t="s">
        <v>166</v>
      </c>
      <c r="B7" s="1024" t="s">
        <v>195</v>
      </c>
      <c r="C7" s="1023" t="s">
        <v>196</v>
      </c>
      <c r="D7" s="1017" t="s">
        <v>225</v>
      </c>
      <c r="E7" s="1018"/>
      <c r="F7" s="1019"/>
      <c r="G7" s="129" t="s">
        <v>229</v>
      </c>
    </row>
    <row r="8" spans="1:7" ht="16.5" customHeight="1">
      <c r="A8" s="1025"/>
      <c r="B8" s="1024"/>
      <c r="C8" s="1023"/>
      <c r="D8" s="1020" t="s">
        <v>226</v>
      </c>
      <c r="E8" s="1022" t="s">
        <v>227</v>
      </c>
      <c r="F8" s="1020" t="s">
        <v>228</v>
      </c>
      <c r="G8" s="1022" t="s">
        <v>230</v>
      </c>
    </row>
    <row r="9" spans="1:7" ht="12">
      <c r="A9" s="1025"/>
      <c r="B9" s="1024"/>
      <c r="C9" s="1023"/>
      <c r="D9" s="1021"/>
      <c r="E9" s="1021"/>
      <c r="F9" s="1021"/>
      <c r="G9" s="1021"/>
    </row>
    <row r="10" spans="1:7" ht="12">
      <c r="A10" s="1025"/>
      <c r="B10" s="1024"/>
      <c r="C10" s="1023"/>
      <c r="D10" s="129" t="s">
        <v>197</v>
      </c>
      <c r="E10" s="129" t="s">
        <v>197</v>
      </c>
      <c r="F10" s="129" t="s">
        <v>197</v>
      </c>
      <c r="G10" s="129" t="s">
        <v>197</v>
      </c>
    </row>
    <row r="11" spans="1:7" ht="15" customHeight="1">
      <c r="A11" s="1023" t="s">
        <v>49</v>
      </c>
      <c r="B11" s="130" t="s">
        <v>483</v>
      </c>
      <c r="C11" s="330">
        <f>SUM(D11:F11)</f>
        <v>1</v>
      </c>
      <c r="D11" s="491">
        <v>1</v>
      </c>
      <c r="E11" s="533">
        <v>0</v>
      </c>
      <c r="F11" s="533">
        <v>0</v>
      </c>
      <c r="G11" s="534">
        <v>0</v>
      </c>
    </row>
    <row r="12" spans="1:7" ht="15" customHeight="1">
      <c r="A12" s="1023"/>
      <c r="B12" s="131" t="s">
        <v>484</v>
      </c>
      <c r="C12" s="331">
        <f>SUM(D12:F12)</f>
        <v>28</v>
      </c>
      <c r="D12" s="331">
        <v>8</v>
      </c>
      <c r="E12" s="331">
        <v>15</v>
      </c>
      <c r="F12" s="331">
        <v>5</v>
      </c>
      <c r="G12" s="492">
        <v>5</v>
      </c>
    </row>
    <row r="13" spans="1:7" ht="15" customHeight="1">
      <c r="A13" s="1023"/>
      <c r="B13" s="131" t="s">
        <v>485</v>
      </c>
      <c r="C13" s="331">
        <f>SUM(D13:F13)</f>
        <v>56</v>
      </c>
      <c r="D13" s="331">
        <v>9</v>
      </c>
      <c r="E13" s="331">
        <v>41</v>
      </c>
      <c r="F13" s="331">
        <v>6</v>
      </c>
      <c r="G13" s="492">
        <v>14</v>
      </c>
    </row>
    <row r="14" spans="1:7" ht="15" customHeight="1">
      <c r="A14" s="1023"/>
      <c r="B14" s="131" t="s">
        <v>486</v>
      </c>
      <c r="C14" s="331">
        <f>SUM(D14:F14)</f>
        <v>93</v>
      </c>
      <c r="D14" s="493">
        <v>6</v>
      </c>
      <c r="E14" s="493">
        <v>63</v>
      </c>
      <c r="F14" s="493">
        <v>24</v>
      </c>
      <c r="G14" s="492">
        <v>32</v>
      </c>
    </row>
    <row r="15" spans="1:7" ht="15" customHeight="1">
      <c r="A15" s="1023"/>
      <c r="B15" s="133" t="s">
        <v>487</v>
      </c>
      <c r="C15" s="332">
        <f>SUM(D15:F15)</f>
        <v>96</v>
      </c>
      <c r="D15" s="494">
        <v>4</v>
      </c>
      <c r="E15" s="494">
        <v>69</v>
      </c>
      <c r="F15" s="494">
        <v>23</v>
      </c>
      <c r="G15" s="495">
        <v>37</v>
      </c>
    </row>
    <row r="16" spans="1:7" ht="15" customHeight="1">
      <c r="A16" s="1023"/>
      <c r="B16" s="129" t="s">
        <v>4</v>
      </c>
      <c r="C16" s="333">
        <f>SUM(C11:C15)</f>
        <v>274</v>
      </c>
      <c r="D16" s="333">
        <f>SUM(D11:D15)</f>
        <v>28</v>
      </c>
      <c r="E16" s="333">
        <f>SUM(E11:E15)</f>
        <v>188</v>
      </c>
      <c r="F16" s="333">
        <f>SUM(F11:F15)</f>
        <v>58</v>
      </c>
      <c r="G16" s="333">
        <f>SUM(G11:G15)</f>
        <v>88</v>
      </c>
    </row>
    <row r="17" spans="1:7" ht="15" customHeight="1">
      <c r="A17" s="1023" t="s">
        <v>50</v>
      </c>
      <c r="B17" s="130" t="s">
        <v>483</v>
      </c>
      <c r="C17" s="535">
        <f>SUM(D17:F17)</f>
        <v>0</v>
      </c>
      <c r="D17" s="533">
        <v>0</v>
      </c>
      <c r="E17" s="533">
        <v>0</v>
      </c>
      <c r="F17" s="533">
        <v>0</v>
      </c>
      <c r="G17" s="534">
        <v>0</v>
      </c>
    </row>
    <row r="18" spans="1:7" ht="15" customHeight="1">
      <c r="A18" s="1023"/>
      <c r="B18" s="131" t="s">
        <v>484</v>
      </c>
      <c r="C18" s="331">
        <f>SUM(D18:F18)</f>
        <v>63</v>
      </c>
      <c r="D18" s="331">
        <v>18</v>
      </c>
      <c r="E18" s="331">
        <v>39</v>
      </c>
      <c r="F18" s="331">
        <v>6</v>
      </c>
      <c r="G18" s="492">
        <v>4</v>
      </c>
    </row>
    <row r="19" spans="1:7" ht="15" customHeight="1">
      <c r="A19" s="1023"/>
      <c r="B19" s="131" t="s">
        <v>485</v>
      </c>
      <c r="C19" s="331">
        <f>SUM(D19:F19)</f>
        <v>169</v>
      </c>
      <c r="D19" s="331">
        <v>48</v>
      </c>
      <c r="E19" s="331">
        <v>105</v>
      </c>
      <c r="F19" s="331">
        <v>16</v>
      </c>
      <c r="G19" s="492">
        <v>10</v>
      </c>
    </row>
    <row r="20" spans="1:7" ht="15" customHeight="1">
      <c r="A20" s="1023"/>
      <c r="B20" s="131" t="s">
        <v>486</v>
      </c>
      <c r="C20" s="331">
        <f>SUM(D20:F20)</f>
        <v>461</v>
      </c>
      <c r="D20" s="331">
        <v>123</v>
      </c>
      <c r="E20" s="331">
        <v>305</v>
      </c>
      <c r="F20" s="331">
        <v>33</v>
      </c>
      <c r="G20" s="492">
        <v>24</v>
      </c>
    </row>
    <row r="21" spans="1:7" ht="15" customHeight="1">
      <c r="A21" s="1023"/>
      <c r="B21" s="133" t="s">
        <v>487</v>
      </c>
      <c r="C21" s="332">
        <f>SUM(D21:F21)</f>
        <v>677</v>
      </c>
      <c r="D21" s="334">
        <v>164</v>
      </c>
      <c r="E21" s="334">
        <v>470</v>
      </c>
      <c r="F21" s="334">
        <v>43</v>
      </c>
      <c r="G21" s="495">
        <v>45</v>
      </c>
    </row>
    <row r="22" spans="1:7" ht="15" customHeight="1">
      <c r="A22" s="1023"/>
      <c r="B22" s="129" t="s">
        <v>4</v>
      </c>
      <c r="C22" s="333">
        <f>SUM(C17:C21)</f>
        <v>1370</v>
      </c>
      <c r="D22" s="333">
        <f>SUM(D17:D21)</f>
        <v>353</v>
      </c>
      <c r="E22" s="333">
        <f>SUM(E17:E21)</f>
        <v>919</v>
      </c>
      <c r="F22" s="333">
        <f>SUM(F17:F21)</f>
        <v>98</v>
      </c>
      <c r="G22" s="333">
        <f>SUM(G17:G21)</f>
        <v>83</v>
      </c>
    </row>
    <row r="23" spans="1:7" ht="15" customHeight="1">
      <c r="A23" s="1023" t="s">
        <v>4</v>
      </c>
      <c r="B23" s="130" t="s">
        <v>488</v>
      </c>
      <c r="C23" s="335">
        <f>SUM(C11+C17)</f>
        <v>1</v>
      </c>
      <c r="D23" s="336">
        <f>SUM(D11+D17)</f>
        <v>1</v>
      </c>
      <c r="E23" s="510">
        <f>SUM(E11+E17)</f>
        <v>0</v>
      </c>
      <c r="F23" s="510">
        <f>SUM(F11+F17)</f>
        <v>0</v>
      </c>
      <c r="G23" s="510">
        <f>SUM(G11+G17)</f>
        <v>0</v>
      </c>
    </row>
    <row r="24" spans="1:7" ht="15" customHeight="1">
      <c r="A24" s="1023"/>
      <c r="B24" s="131" t="s">
        <v>489</v>
      </c>
      <c r="C24" s="337">
        <f>SUM(C12+C18)</f>
        <v>91</v>
      </c>
      <c r="D24" s="331">
        <f aca="true" t="shared" si="0" ref="D24:G27">D12+D18</f>
        <v>26</v>
      </c>
      <c r="E24" s="331">
        <f t="shared" si="0"/>
        <v>54</v>
      </c>
      <c r="F24" s="331">
        <f t="shared" si="0"/>
        <v>11</v>
      </c>
      <c r="G24" s="331">
        <f t="shared" si="0"/>
        <v>9</v>
      </c>
    </row>
    <row r="25" spans="1:7" ht="15" customHeight="1">
      <c r="A25" s="1023"/>
      <c r="B25" s="131" t="s">
        <v>490</v>
      </c>
      <c r="C25" s="337">
        <f>SUM(C13+C19)</f>
        <v>225</v>
      </c>
      <c r="D25" s="331">
        <f t="shared" si="0"/>
        <v>57</v>
      </c>
      <c r="E25" s="331">
        <f t="shared" si="0"/>
        <v>146</v>
      </c>
      <c r="F25" s="331">
        <f t="shared" si="0"/>
        <v>22</v>
      </c>
      <c r="G25" s="331">
        <f t="shared" si="0"/>
        <v>24</v>
      </c>
    </row>
    <row r="26" spans="1:7" ht="15" customHeight="1">
      <c r="A26" s="1023"/>
      <c r="B26" s="131" t="s">
        <v>491</v>
      </c>
      <c r="C26" s="337">
        <f>SUM(C14+C20)</f>
        <v>554</v>
      </c>
      <c r="D26" s="331">
        <f t="shared" si="0"/>
        <v>129</v>
      </c>
      <c r="E26" s="331">
        <f t="shared" si="0"/>
        <v>368</v>
      </c>
      <c r="F26" s="331">
        <f t="shared" si="0"/>
        <v>57</v>
      </c>
      <c r="G26" s="331">
        <f t="shared" si="0"/>
        <v>56</v>
      </c>
    </row>
    <row r="27" spans="1:7" ht="15" customHeight="1">
      <c r="A27" s="1023"/>
      <c r="B27" s="133" t="s">
        <v>492</v>
      </c>
      <c r="C27" s="338">
        <f>SUM(C15+C21)</f>
        <v>773</v>
      </c>
      <c r="D27" s="334">
        <f t="shared" si="0"/>
        <v>168</v>
      </c>
      <c r="E27" s="334">
        <f t="shared" si="0"/>
        <v>539</v>
      </c>
      <c r="F27" s="334">
        <f t="shared" si="0"/>
        <v>66</v>
      </c>
      <c r="G27" s="334">
        <f t="shared" si="0"/>
        <v>82</v>
      </c>
    </row>
    <row r="28" spans="1:7" ht="15" customHeight="1">
      <c r="A28" s="1023"/>
      <c r="B28" s="129" t="s">
        <v>4</v>
      </c>
      <c r="C28" s="333">
        <f>SUM(C23:C27)</f>
        <v>1644</v>
      </c>
      <c r="D28" s="333">
        <f>SUM(D23:D27)</f>
        <v>381</v>
      </c>
      <c r="E28" s="333">
        <f>SUM(E23:E27)</f>
        <v>1107</v>
      </c>
      <c r="F28" s="333">
        <f>SUM(F23:F27)</f>
        <v>156</v>
      </c>
      <c r="G28" s="333">
        <f>SUM(G23:G27)</f>
        <v>171</v>
      </c>
    </row>
    <row r="29" spans="1:13" ht="12">
      <c r="A29" s="159"/>
      <c r="B29" s="159"/>
      <c r="C29" s="159"/>
      <c r="D29" s="159"/>
      <c r="E29" s="159"/>
      <c r="H29" s="151"/>
      <c r="I29" s="151"/>
      <c r="J29" s="151"/>
      <c r="K29" s="151"/>
      <c r="L29" s="151"/>
      <c r="M29" s="151"/>
    </row>
    <row r="30" ht="12"/>
    <row r="31" s="151" customFormat="1" ht="14.25">
      <c r="A31" s="84" t="s">
        <v>346</v>
      </c>
    </row>
    <row r="32" spans="1:6" s="151" customFormat="1" ht="15" customHeight="1">
      <c r="A32" s="1023" t="s">
        <v>166</v>
      </c>
      <c r="B32" s="1023" t="s">
        <v>198</v>
      </c>
      <c r="C32" s="1023" t="s">
        <v>196</v>
      </c>
      <c r="D32" s="155" t="s">
        <v>69</v>
      </c>
      <c r="E32" s="155" t="s">
        <v>199</v>
      </c>
      <c r="F32" s="155" t="s">
        <v>493</v>
      </c>
    </row>
    <row r="33" spans="1:14" s="151" customFormat="1" ht="15" customHeight="1">
      <c r="A33" s="1023"/>
      <c r="B33" s="1023"/>
      <c r="C33" s="1023"/>
      <c r="D33" s="158" t="s">
        <v>494</v>
      </c>
      <c r="E33" s="158" t="s">
        <v>495</v>
      </c>
      <c r="F33" s="158" t="s">
        <v>496</v>
      </c>
      <c r="K33" s="84"/>
      <c r="L33" s="84"/>
      <c r="M33" s="83"/>
      <c r="N33" s="83"/>
    </row>
    <row r="34" spans="1:6" s="151" customFormat="1" ht="15" customHeight="1">
      <c r="A34" s="1023"/>
      <c r="B34" s="1023"/>
      <c r="C34" s="1023"/>
      <c r="D34" s="153" t="s">
        <v>497</v>
      </c>
      <c r="E34" s="153" t="s">
        <v>498</v>
      </c>
      <c r="F34" s="153" t="s">
        <v>499</v>
      </c>
    </row>
    <row r="35" spans="1:6" s="151" customFormat="1" ht="15" customHeight="1">
      <c r="A35" s="152" t="s">
        <v>166</v>
      </c>
      <c r="B35" s="157" t="s">
        <v>195</v>
      </c>
      <c r="C35" s="152" t="s">
        <v>196</v>
      </c>
      <c r="D35" s="152" t="s">
        <v>197</v>
      </c>
      <c r="E35" s="152" t="s">
        <v>197</v>
      </c>
      <c r="F35" s="152" t="s">
        <v>197</v>
      </c>
    </row>
    <row r="36" spans="1:6" s="151" customFormat="1" ht="15" customHeight="1">
      <c r="A36" s="1023" t="s">
        <v>49</v>
      </c>
      <c r="B36" s="155" t="s">
        <v>483</v>
      </c>
      <c r="C36" s="336">
        <f>SUM(D36:F36)</f>
        <v>1</v>
      </c>
      <c r="D36" s="336">
        <v>1</v>
      </c>
      <c r="E36" s="510">
        <v>0</v>
      </c>
      <c r="F36" s="510">
        <v>0</v>
      </c>
    </row>
    <row r="37" spans="1:6" s="156" customFormat="1" ht="15" customHeight="1">
      <c r="A37" s="1023"/>
      <c r="B37" s="154" t="s">
        <v>484</v>
      </c>
      <c r="C37" s="337">
        <f>SUM(D37:F37)</f>
        <v>28</v>
      </c>
      <c r="D37" s="337">
        <v>25</v>
      </c>
      <c r="E37" s="337">
        <v>3</v>
      </c>
      <c r="F37" s="511">
        <v>0</v>
      </c>
    </row>
    <row r="38" spans="1:6" s="151" customFormat="1" ht="15" customHeight="1">
      <c r="A38" s="1023"/>
      <c r="B38" s="154" t="s">
        <v>485</v>
      </c>
      <c r="C38" s="337">
        <f>SUM(D38:F38)</f>
        <v>56</v>
      </c>
      <c r="D38" s="337">
        <v>50</v>
      </c>
      <c r="E38" s="337">
        <v>5</v>
      </c>
      <c r="F38" s="337">
        <v>1</v>
      </c>
    </row>
    <row r="39" spans="1:6" s="151" customFormat="1" ht="15" customHeight="1">
      <c r="A39" s="1023"/>
      <c r="B39" s="154" t="s">
        <v>486</v>
      </c>
      <c r="C39" s="337">
        <f>SUM(D39:F39)</f>
        <v>93</v>
      </c>
      <c r="D39" s="339">
        <v>78</v>
      </c>
      <c r="E39" s="339">
        <v>9</v>
      </c>
      <c r="F39" s="339">
        <v>6</v>
      </c>
    </row>
    <row r="40" spans="1:6" s="151" customFormat="1" ht="15" customHeight="1">
      <c r="A40" s="1023"/>
      <c r="B40" s="153" t="s">
        <v>487</v>
      </c>
      <c r="C40" s="340">
        <f>SUM(D40:F40)</f>
        <v>96</v>
      </c>
      <c r="D40" s="341">
        <v>76</v>
      </c>
      <c r="E40" s="341">
        <v>14</v>
      </c>
      <c r="F40" s="341">
        <v>6</v>
      </c>
    </row>
    <row r="41" spans="1:6" s="151" customFormat="1" ht="15" customHeight="1">
      <c r="A41" s="1023"/>
      <c r="B41" s="152" t="s">
        <v>4</v>
      </c>
      <c r="C41" s="333">
        <f>SUM(C36:C40)</f>
        <v>274</v>
      </c>
      <c r="D41" s="333">
        <f>SUM(D36:D40)</f>
        <v>230</v>
      </c>
      <c r="E41" s="333">
        <f>SUM(E36:E40)</f>
        <v>31</v>
      </c>
      <c r="F41" s="333">
        <f>SUM(F36:F40)</f>
        <v>13</v>
      </c>
    </row>
    <row r="42" spans="1:6" s="151" customFormat="1" ht="15" customHeight="1">
      <c r="A42" s="1023" t="s">
        <v>50</v>
      </c>
      <c r="B42" s="155" t="s">
        <v>483</v>
      </c>
      <c r="C42" s="512">
        <f>SUM(D42:F42)</f>
        <v>0</v>
      </c>
      <c r="D42" s="510">
        <v>0</v>
      </c>
      <c r="E42" s="510">
        <v>0</v>
      </c>
      <c r="F42" s="510">
        <v>0</v>
      </c>
    </row>
    <row r="43" spans="1:6" s="151" customFormat="1" ht="15" customHeight="1">
      <c r="A43" s="1023"/>
      <c r="B43" s="154" t="s">
        <v>484</v>
      </c>
      <c r="C43" s="337">
        <f>SUM(D43:F43)</f>
        <v>63</v>
      </c>
      <c r="D43" s="337">
        <v>61</v>
      </c>
      <c r="E43" s="337">
        <v>1</v>
      </c>
      <c r="F43" s="337">
        <v>1</v>
      </c>
    </row>
    <row r="44" spans="1:6" s="151" customFormat="1" ht="15" customHeight="1">
      <c r="A44" s="1023"/>
      <c r="B44" s="154" t="s">
        <v>485</v>
      </c>
      <c r="C44" s="337">
        <f>SUM(D44:F44)</f>
        <v>169</v>
      </c>
      <c r="D44" s="337">
        <v>164</v>
      </c>
      <c r="E44" s="337">
        <v>4</v>
      </c>
      <c r="F44" s="337">
        <v>1</v>
      </c>
    </row>
    <row r="45" spans="1:6" s="151" customFormat="1" ht="15" customHeight="1">
      <c r="A45" s="1023"/>
      <c r="B45" s="154" t="s">
        <v>486</v>
      </c>
      <c r="C45" s="337">
        <f>SUM(D45:F45)</f>
        <v>461</v>
      </c>
      <c r="D45" s="337">
        <v>452</v>
      </c>
      <c r="E45" s="337">
        <v>5</v>
      </c>
      <c r="F45" s="337">
        <v>4</v>
      </c>
    </row>
    <row r="46" spans="1:6" s="151" customFormat="1" ht="15" customHeight="1">
      <c r="A46" s="1023"/>
      <c r="B46" s="153" t="s">
        <v>487</v>
      </c>
      <c r="C46" s="340">
        <f>SUM(D46:F46)</f>
        <v>677</v>
      </c>
      <c r="D46" s="340">
        <v>657</v>
      </c>
      <c r="E46" s="340">
        <v>16</v>
      </c>
      <c r="F46" s="340">
        <v>4</v>
      </c>
    </row>
    <row r="47" spans="1:6" s="151" customFormat="1" ht="15" customHeight="1">
      <c r="A47" s="1023"/>
      <c r="B47" s="152" t="s">
        <v>4</v>
      </c>
      <c r="C47" s="333">
        <f>SUM(C42:C46)</f>
        <v>1370</v>
      </c>
      <c r="D47" s="333">
        <f>SUM(D42:D46)</f>
        <v>1334</v>
      </c>
      <c r="E47" s="333">
        <f>SUM(E42:E46)</f>
        <v>26</v>
      </c>
      <c r="F47" s="333">
        <f>SUM(F42:F46)</f>
        <v>10</v>
      </c>
    </row>
    <row r="48" spans="1:6" s="151" customFormat="1" ht="15" customHeight="1">
      <c r="A48" s="1023" t="s">
        <v>4</v>
      </c>
      <c r="B48" s="155" t="s">
        <v>488</v>
      </c>
      <c r="C48" s="335">
        <f>SUM(C36+C42)</f>
        <v>1</v>
      </c>
      <c r="D48" s="335">
        <f>SUM(D36+D42)</f>
        <v>1</v>
      </c>
      <c r="E48" s="510">
        <f>SUM(E36+E42)</f>
        <v>0</v>
      </c>
      <c r="F48" s="510">
        <f>F36+F42</f>
        <v>0</v>
      </c>
    </row>
    <row r="49" spans="1:6" s="151" customFormat="1" ht="15" customHeight="1">
      <c r="A49" s="1023"/>
      <c r="B49" s="154" t="s">
        <v>489</v>
      </c>
      <c r="C49" s="337">
        <f aca="true" t="shared" si="1" ref="C49:D52">SUM(C37+C43)</f>
        <v>91</v>
      </c>
      <c r="D49" s="337">
        <f t="shared" si="1"/>
        <v>86</v>
      </c>
      <c r="E49" s="337">
        <v>3</v>
      </c>
      <c r="F49" s="337">
        <f>F37+F43</f>
        <v>1</v>
      </c>
    </row>
    <row r="50" spans="1:6" s="151" customFormat="1" ht="15" customHeight="1">
      <c r="A50" s="1023"/>
      <c r="B50" s="154" t="s">
        <v>490</v>
      </c>
      <c r="C50" s="337">
        <f t="shared" si="1"/>
        <v>225</v>
      </c>
      <c r="D50" s="337">
        <f t="shared" si="1"/>
        <v>214</v>
      </c>
      <c r="E50" s="337">
        <f>E38+E44</f>
        <v>9</v>
      </c>
      <c r="F50" s="337">
        <f>F38+F44</f>
        <v>2</v>
      </c>
    </row>
    <row r="51" spans="1:6" s="151" customFormat="1" ht="15" customHeight="1">
      <c r="A51" s="1023"/>
      <c r="B51" s="154" t="s">
        <v>491</v>
      </c>
      <c r="C51" s="337">
        <f t="shared" si="1"/>
        <v>554</v>
      </c>
      <c r="D51" s="337">
        <f t="shared" si="1"/>
        <v>530</v>
      </c>
      <c r="E51" s="337">
        <f>E39+E45</f>
        <v>14</v>
      </c>
      <c r="F51" s="337">
        <f>F39+F45</f>
        <v>10</v>
      </c>
    </row>
    <row r="52" spans="1:6" s="151" customFormat="1" ht="15" customHeight="1">
      <c r="A52" s="1023"/>
      <c r="B52" s="153" t="s">
        <v>492</v>
      </c>
      <c r="C52" s="338">
        <f t="shared" si="1"/>
        <v>773</v>
      </c>
      <c r="D52" s="338">
        <f t="shared" si="1"/>
        <v>733</v>
      </c>
      <c r="E52" s="340">
        <f>E40+E46</f>
        <v>30</v>
      </c>
      <c r="F52" s="340">
        <f>F40+F46</f>
        <v>10</v>
      </c>
    </row>
    <row r="53" spans="1:6" s="151" customFormat="1" ht="15" customHeight="1">
      <c r="A53" s="1023"/>
      <c r="B53" s="152" t="s">
        <v>4</v>
      </c>
      <c r="C53" s="333">
        <f>SUM(C48:C52)</f>
        <v>1644</v>
      </c>
      <c r="D53" s="333">
        <f>SUM(D48:D52)</f>
        <v>1564</v>
      </c>
      <c r="E53" s="333">
        <f>SUM(E48:E52)</f>
        <v>56</v>
      </c>
      <c r="F53" s="333">
        <f>SUM(F48:F52)</f>
        <v>23</v>
      </c>
    </row>
    <row r="54" s="151" customFormat="1" ht="12"/>
  </sheetData>
  <sheetProtection/>
  <mergeCells count="17">
    <mergeCell ref="A36:A41"/>
    <mergeCell ref="A42:A47"/>
    <mergeCell ref="A48:A53"/>
    <mergeCell ref="A23:A28"/>
    <mergeCell ref="A32:A34"/>
    <mergeCell ref="A7:A10"/>
    <mergeCell ref="A17:A22"/>
    <mergeCell ref="A11:A16"/>
    <mergeCell ref="D7:F7"/>
    <mergeCell ref="D8:D9"/>
    <mergeCell ref="E8:E9"/>
    <mergeCell ref="F8:F9"/>
    <mergeCell ref="G8:G9"/>
    <mergeCell ref="B32:B34"/>
    <mergeCell ref="C32:C34"/>
    <mergeCell ref="B7:B10"/>
    <mergeCell ref="C7:C10"/>
  </mergeCells>
  <printOptions/>
  <pageMargins left="0.7086614173228347" right="0.7086614173228347" top="0.7480314960629921" bottom="0.7480314960629921" header="0.31496062992125984" footer="0.31496062992125984"/>
  <pageSetup firstPageNumber="88" useFirstPageNumber="1" fitToHeight="1" fitToWidth="1" horizontalDpi="600" verticalDpi="600" orientation="portrait" paperSize="9" scale="97"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45"/>
  <sheetViews>
    <sheetView view="pageBreakPreview" zoomScaleSheetLayoutView="100" zoomScalePageLayoutView="0" workbookViewId="0" topLeftCell="A1">
      <selection activeCell="G9" sqref="G9"/>
    </sheetView>
  </sheetViews>
  <sheetFormatPr defaultColWidth="9.00390625" defaultRowHeight="13.5"/>
  <cols>
    <col min="1" max="1" width="6.25390625" style="151" customWidth="1"/>
    <col min="2" max="2" width="11.25390625" style="160" customWidth="1"/>
    <col min="3" max="3" width="11.25390625" style="151" customWidth="1"/>
    <col min="4" max="6" width="12.50390625" style="151" customWidth="1"/>
    <col min="7" max="16384" width="9.00390625" style="151" customWidth="1"/>
  </cols>
  <sheetData>
    <row r="1" ht="14.25">
      <c r="A1" s="84" t="s">
        <v>347</v>
      </c>
    </row>
    <row r="2" spans="1:6" ht="18.75" customHeight="1">
      <c r="A2" s="1023" t="s">
        <v>166</v>
      </c>
      <c r="B2" s="1024" t="s">
        <v>195</v>
      </c>
      <c r="C2" s="1023" t="s">
        <v>196</v>
      </c>
      <c r="D2" s="155" t="s">
        <v>69</v>
      </c>
      <c r="E2" s="155" t="s">
        <v>199</v>
      </c>
      <c r="F2" s="155" t="s">
        <v>500</v>
      </c>
    </row>
    <row r="3" spans="1:6" ht="63" customHeight="1">
      <c r="A3" s="1023"/>
      <c r="B3" s="1024"/>
      <c r="C3" s="1023"/>
      <c r="D3" s="153" t="s">
        <v>501</v>
      </c>
      <c r="E3" s="153" t="s">
        <v>502</v>
      </c>
      <c r="F3" s="153" t="s">
        <v>503</v>
      </c>
    </row>
    <row r="4" spans="1:6" ht="18.75" customHeight="1">
      <c r="A4" s="1023"/>
      <c r="B4" s="1024"/>
      <c r="C4" s="1023"/>
      <c r="D4" s="152" t="s">
        <v>197</v>
      </c>
      <c r="E4" s="152" t="s">
        <v>197</v>
      </c>
      <c r="F4" s="152" t="s">
        <v>197</v>
      </c>
    </row>
    <row r="5" spans="1:6" ht="18.75" customHeight="1">
      <c r="A5" s="1023" t="s">
        <v>49</v>
      </c>
      <c r="B5" s="155" t="s">
        <v>483</v>
      </c>
      <c r="C5" s="336">
        <f>SUM(D5:F5)</f>
        <v>1</v>
      </c>
      <c r="D5" s="510">
        <v>0</v>
      </c>
      <c r="E5" s="336">
        <v>1</v>
      </c>
      <c r="F5" s="510">
        <v>0</v>
      </c>
    </row>
    <row r="6" spans="1:6" s="156" customFormat="1" ht="18.75" customHeight="1">
      <c r="A6" s="1023"/>
      <c r="B6" s="154" t="s">
        <v>484</v>
      </c>
      <c r="C6" s="337">
        <f>SUM(D6:F6)</f>
        <v>28</v>
      </c>
      <c r="D6" s="337">
        <v>25</v>
      </c>
      <c r="E6" s="337">
        <v>2</v>
      </c>
      <c r="F6" s="337">
        <v>1</v>
      </c>
    </row>
    <row r="7" spans="1:6" ht="18.75" customHeight="1">
      <c r="A7" s="1023"/>
      <c r="B7" s="154" t="s">
        <v>485</v>
      </c>
      <c r="C7" s="337">
        <f>SUM(D7:F7)</f>
        <v>56</v>
      </c>
      <c r="D7" s="337">
        <v>41</v>
      </c>
      <c r="E7" s="337">
        <v>14</v>
      </c>
      <c r="F7" s="337">
        <v>1</v>
      </c>
    </row>
    <row r="8" spans="1:6" ht="18.75" customHeight="1">
      <c r="A8" s="1023"/>
      <c r="B8" s="154" t="s">
        <v>486</v>
      </c>
      <c r="C8" s="337">
        <f>SUM(D8:F8)</f>
        <v>93</v>
      </c>
      <c r="D8" s="339">
        <v>68</v>
      </c>
      <c r="E8" s="339">
        <v>20</v>
      </c>
      <c r="F8" s="339">
        <v>5</v>
      </c>
    </row>
    <row r="9" spans="1:6" ht="18.75" customHeight="1">
      <c r="A9" s="1023"/>
      <c r="B9" s="153" t="s">
        <v>487</v>
      </c>
      <c r="C9" s="340">
        <f>SUM(D9:F9)</f>
        <v>96</v>
      </c>
      <c r="D9" s="341">
        <v>62</v>
      </c>
      <c r="E9" s="341">
        <v>26</v>
      </c>
      <c r="F9" s="341">
        <v>8</v>
      </c>
    </row>
    <row r="10" spans="1:6" ht="18.75" customHeight="1">
      <c r="A10" s="1023"/>
      <c r="B10" s="152" t="s">
        <v>4</v>
      </c>
      <c r="C10" s="333">
        <f>SUM(C5:C9)</f>
        <v>274</v>
      </c>
      <c r="D10" s="333">
        <f>SUM(D5:D9)</f>
        <v>196</v>
      </c>
      <c r="E10" s="333">
        <f>SUM(E5:E9)</f>
        <v>63</v>
      </c>
      <c r="F10" s="333">
        <f>SUM(F5:F9)</f>
        <v>15</v>
      </c>
    </row>
    <row r="11" spans="1:6" ht="18.75" customHeight="1">
      <c r="A11" s="1023" t="s">
        <v>50</v>
      </c>
      <c r="B11" s="155" t="s">
        <v>483</v>
      </c>
      <c r="C11" s="512">
        <f>SUM(D11:F11)</f>
        <v>0</v>
      </c>
      <c r="D11" s="510">
        <v>0</v>
      </c>
      <c r="E11" s="510">
        <v>0</v>
      </c>
      <c r="F11" s="510">
        <v>0</v>
      </c>
    </row>
    <row r="12" spans="1:6" ht="18.75" customHeight="1">
      <c r="A12" s="1023"/>
      <c r="B12" s="154" t="s">
        <v>484</v>
      </c>
      <c r="C12" s="337">
        <f>SUM(D12:F12)</f>
        <v>63</v>
      </c>
      <c r="D12" s="337">
        <v>59</v>
      </c>
      <c r="E12" s="337">
        <v>4</v>
      </c>
      <c r="F12" s="511">
        <v>0</v>
      </c>
    </row>
    <row r="13" spans="1:6" ht="18.75" customHeight="1">
      <c r="A13" s="1023"/>
      <c r="B13" s="154" t="s">
        <v>485</v>
      </c>
      <c r="C13" s="337">
        <f>SUM(D13:F13)</f>
        <v>169</v>
      </c>
      <c r="D13" s="337">
        <v>152</v>
      </c>
      <c r="E13" s="337">
        <v>17</v>
      </c>
      <c r="F13" s="511">
        <v>0</v>
      </c>
    </row>
    <row r="14" spans="1:6" ht="18.75" customHeight="1">
      <c r="A14" s="1023"/>
      <c r="B14" s="154" t="s">
        <v>486</v>
      </c>
      <c r="C14" s="337">
        <f>SUM(D14:F14)</f>
        <v>461</v>
      </c>
      <c r="D14" s="339">
        <v>436</v>
      </c>
      <c r="E14" s="337">
        <v>25</v>
      </c>
      <c r="F14" s="511">
        <v>0</v>
      </c>
    </row>
    <row r="15" spans="1:6" ht="18.75" customHeight="1">
      <c r="A15" s="1023"/>
      <c r="B15" s="153" t="s">
        <v>487</v>
      </c>
      <c r="C15" s="340">
        <f>SUM(D15:F15)</f>
        <v>677</v>
      </c>
      <c r="D15" s="341">
        <v>634</v>
      </c>
      <c r="E15" s="340">
        <v>37</v>
      </c>
      <c r="F15" s="340">
        <v>6</v>
      </c>
    </row>
    <row r="16" spans="1:6" ht="18.75" customHeight="1">
      <c r="A16" s="1023"/>
      <c r="B16" s="152" t="s">
        <v>4</v>
      </c>
      <c r="C16" s="333">
        <f>SUM(C11:C15)</f>
        <v>1370</v>
      </c>
      <c r="D16" s="333">
        <f>SUM(D11:D15)</f>
        <v>1281</v>
      </c>
      <c r="E16" s="333">
        <f>SUM(E11:E15)</f>
        <v>83</v>
      </c>
      <c r="F16" s="333">
        <f>SUM(F11:F15)</f>
        <v>6</v>
      </c>
    </row>
    <row r="17" spans="1:6" ht="18.75" customHeight="1">
      <c r="A17" s="1023" t="s">
        <v>4</v>
      </c>
      <c r="B17" s="155" t="s">
        <v>488</v>
      </c>
      <c r="C17" s="336">
        <f>SUM(D17:F17)</f>
        <v>1</v>
      </c>
      <c r="D17" s="510">
        <f aca="true" t="shared" si="0" ref="D17:F22">D5+D11</f>
        <v>0</v>
      </c>
      <c r="E17" s="336">
        <f t="shared" si="0"/>
        <v>1</v>
      </c>
      <c r="F17" s="510">
        <f t="shared" si="0"/>
        <v>0</v>
      </c>
    </row>
    <row r="18" spans="1:6" ht="18.75" customHeight="1">
      <c r="A18" s="1023"/>
      <c r="B18" s="154" t="s">
        <v>489</v>
      </c>
      <c r="C18" s="337">
        <f>SUM(D18:F18)</f>
        <v>91</v>
      </c>
      <c r="D18" s="337">
        <f t="shared" si="0"/>
        <v>84</v>
      </c>
      <c r="E18" s="337">
        <f t="shared" si="0"/>
        <v>6</v>
      </c>
      <c r="F18" s="337">
        <f t="shared" si="0"/>
        <v>1</v>
      </c>
    </row>
    <row r="19" spans="1:6" ht="18.75" customHeight="1">
      <c r="A19" s="1023"/>
      <c r="B19" s="154" t="s">
        <v>490</v>
      </c>
      <c r="C19" s="337">
        <f>SUM(D19:F19)</f>
        <v>225</v>
      </c>
      <c r="D19" s="337">
        <f t="shared" si="0"/>
        <v>193</v>
      </c>
      <c r="E19" s="337">
        <f t="shared" si="0"/>
        <v>31</v>
      </c>
      <c r="F19" s="337">
        <f t="shared" si="0"/>
        <v>1</v>
      </c>
    </row>
    <row r="20" spans="1:6" ht="18.75" customHeight="1">
      <c r="A20" s="1023"/>
      <c r="B20" s="154" t="s">
        <v>491</v>
      </c>
      <c r="C20" s="337">
        <f>SUM(D20:F20)</f>
        <v>554</v>
      </c>
      <c r="D20" s="337">
        <f t="shared" si="0"/>
        <v>504</v>
      </c>
      <c r="E20" s="337">
        <f t="shared" si="0"/>
        <v>45</v>
      </c>
      <c r="F20" s="337">
        <f t="shared" si="0"/>
        <v>5</v>
      </c>
    </row>
    <row r="21" spans="1:6" ht="18.75" customHeight="1">
      <c r="A21" s="1023"/>
      <c r="B21" s="153" t="s">
        <v>492</v>
      </c>
      <c r="C21" s="340">
        <f>SUM(D21:F21)</f>
        <v>773</v>
      </c>
      <c r="D21" s="340">
        <f t="shared" si="0"/>
        <v>696</v>
      </c>
      <c r="E21" s="340">
        <f t="shared" si="0"/>
        <v>63</v>
      </c>
      <c r="F21" s="340">
        <f t="shared" si="0"/>
        <v>14</v>
      </c>
    </row>
    <row r="22" spans="1:6" ht="18.75" customHeight="1">
      <c r="A22" s="1023"/>
      <c r="B22" s="152" t="s">
        <v>4</v>
      </c>
      <c r="C22" s="333">
        <f>C10+C16</f>
        <v>1644</v>
      </c>
      <c r="D22" s="333">
        <f t="shared" si="0"/>
        <v>1477</v>
      </c>
      <c r="E22" s="333">
        <f t="shared" si="0"/>
        <v>146</v>
      </c>
      <c r="F22" s="333">
        <f t="shared" si="0"/>
        <v>21</v>
      </c>
    </row>
    <row r="23" ht="18.75" customHeight="1"/>
    <row r="24" ht="18.75" customHeight="1">
      <c r="A24" s="84" t="s">
        <v>504</v>
      </c>
    </row>
    <row r="25" spans="1:6" ht="18.75" customHeight="1">
      <c r="A25" s="1023" t="s">
        <v>166</v>
      </c>
      <c r="B25" s="1024" t="s">
        <v>195</v>
      </c>
      <c r="C25" s="1023" t="s">
        <v>196</v>
      </c>
      <c r="D25" s="155" t="s">
        <v>69</v>
      </c>
      <c r="E25" s="155" t="s">
        <v>199</v>
      </c>
      <c r="F25" s="155" t="s">
        <v>493</v>
      </c>
    </row>
    <row r="26" spans="1:6" ht="18.75" customHeight="1">
      <c r="A26" s="1023"/>
      <c r="B26" s="1024"/>
      <c r="C26" s="1023"/>
      <c r="D26" s="153" t="s">
        <v>505</v>
      </c>
      <c r="E26" s="153" t="s">
        <v>492</v>
      </c>
      <c r="F26" s="153" t="s">
        <v>506</v>
      </c>
    </row>
    <row r="27" spans="1:6" ht="18.75" customHeight="1">
      <c r="A27" s="1023"/>
      <c r="B27" s="1024"/>
      <c r="C27" s="1023"/>
      <c r="D27" s="152" t="s">
        <v>197</v>
      </c>
      <c r="E27" s="152" t="s">
        <v>197</v>
      </c>
      <c r="F27" s="152" t="s">
        <v>197</v>
      </c>
    </row>
    <row r="28" spans="1:6" ht="18.75" customHeight="1">
      <c r="A28" s="1023" t="s">
        <v>49</v>
      </c>
      <c r="B28" s="155" t="s">
        <v>483</v>
      </c>
      <c r="C28" s="336">
        <f>SUM(D28:F28)</f>
        <v>1</v>
      </c>
      <c r="D28" s="336">
        <v>1</v>
      </c>
      <c r="E28" s="510">
        <v>0</v>
      </c>
      <c r="F28" s="510">
        <v>0</v>
      </c>
    </row>
    <row r="29" spans="1:6" s="156" customFormat="1" ht="18.75" customHeight="1">
      <c r="A29" s="1023"/>
      <c r="B29" s="154" t="s">
        <v>484</v>
      </c>
      <c r="C29" s="337">
        <f>SUM(D29:F29)</f>
        <v>28</v>
      </c>
      <c r="D29" s="337">
        <v>26</v>
      </c>
      <c r="E29" s="511">
        <v>0</v>
      </c>
      <c r="F29" s="337">
        <v>2</v>
      </c>
    </row>
    <row r="30" spans="1:6" ht="18.75" customHeight="1">
      <c r="A30" s="1023"/>
      <c r="B30" s="154" t="s">
        <v>485</v>
      </c>
      <c r="C30" s="337">
        <f>SUM(D30:F30)</f>
        <v>56</v>
      </c>
      <c r="D30" s="337">
        <v>50</v>
      </c>
      <c r="E30" s="337">
        <v>4</v>
      </c>
      <c r="F30" s="337">
        <v>2</v>
      </c>
    </row>
    <row r="31" spans="1:6" ht="18.75" customHeight="1">
      <c r="A31" s="1023"/>
      <c r="B31" s="154" t="s">
        <v>486</v>
      </c>
      <c r="C31" s="337">
        <f>SUM(D31:F31)</f>
        <v>93</v>
      </c>
      <c r="D31" s="339">
        <v>84</v>
      </c>
      <c r="E31" s="339">
        <v>4</v>
      </c>
      <c r="F31" s="339">
        <v>5</v>
      </c>
    </row>
    <row r="32" spans="1:6" ht="18.75" customHeight="1">
      <c r="A32" s="1023"/>
      <c r="B32" s="153" t="s">
        <v>487</v>
      </c>
      <c r="C32" s="340">
        <f>SUM(D32:F32)</f>
        <v>96</v>
      </c>
      <c r="D32" s="341">
        <v>84</v>
      </c>
      <c r="E32" s="341">
        <v>9</v>
      </c>
      <c r="F32" s="341">
        <v>3</v>
      </c>
    </row>
    <row r="33" spans="1:6" ht="18.75" customHeight="1">
      <c r="A33" s="1023"/>
      <c r="B33" s="152" t="s">
        <v>4</v>
      </c>
      <c r="C33" s="333">
        <f>SUM(C28:C32)</f>
        <v>274</v>
      </c>
      <c r="D33" s="333">
        <f>SUM(D28:D32)</f>
        <v>245</v>
      </c>
      <c r="E33" s="333">
        <f>SUM(E28:E32)</f>
        <v>17</v>
      </c>
      <c r="F33" s="333">
        <f>SUM(F28:F32)</f>
        <v>12</v>
      </c>
    </row>
    <row r="34" spans="1:6" ht="18.75" customHeight="1">
      <c r="A34" s="1023" t="s">
        <v>50</v>
      </c>
      <c r="B34" s="155" t="s">
        <v>483</v>
      </c>
      <c r="C34" s="512">
        <f>SUM(D34:F34)</f>
        <v>0</v>
      </c>
      <c r="D34" s="510">
        <v>0</v>
      </c>
      <c r="E34" s="510">
        <v>0</v>
      </c>
      <c r="F34" s="510">
        <v>0</v>
      </c>
    </row>
    <row r="35" spans="1:6" ht="18.75" customHeight="1">
      <c r="A35" s="1023"/>
      <c r="B35" s="154" t="s">
        <v>484</v>
      </c>
      <c r="C35" s="337">
        <f>SUM(D35:F35)</f>
        <v>63</v>
      </c>
      <c r="D35" s="337">
        <v>62</v>
      </c>
      <c r="E35" s="337">
        <v>1</v>
      </c>
      <c r="F35" s="511">
        <v>0</v>
      </c>
    </row>
    <row r="36" spans="1:6" ht="18.75" customHeight="1">
      <c r="A36" s="1023"/>
      <c r="B36" s="154" t="s">
        <v>485</v>
      </c>
      <c r="C36" s="337">
        <f>SUM(D36:F36)</f>
        <v>169</v>
      </c>
      <c r="D36" s="337">
        <v>167</v>
      </c>
      <c r="E36" s="337">
        <v>2</v>
      </c>
      <c r="F36" s="511">
        <v>0</v>
      </c>
    </row>
    <row r="37" spans="1:6" ht="18.75" customHeight="1">
      <c r="A37" s="1023"/>
      <c r="B37" s="154" t="s">
        <v>486</v>
      </c>
      <c r="C37" s="337">
        <f>SUM(D37:F37)</f>
        <v>461</v>
      </c>
      <c r="D37" s="339">
        <v>452</v>
      </c>
      <c r="E37" s="337">
        <v>8</v>
      </c>
      <c r="F37" s="337">
        <v>1</v>
      </c>
    </row>
    <row r="38" spans="1:6" ht="18.75" customHeight="1">
      <c r="A38" s="1023"/>
      <c r="B38" s="153" t="s">
        <v>487</v>
      </c>
      <c r="C38" s="340">
        <f>SUM(D38:F38)</f>
        <v>677</v>
      </c>
      <c r="D38" s="341">
        <v>667</v>
      </c>
      <c r="E38" s="340">
        <v>8</v>
      </c>
      <c r="F38" s="340">
        <v>2</v>
      </c>
    </row>
    <row r="39" spans="1:6" ht="18.75" customHeight="1">
      <c r="A39" s="1023"/>
      <c r="B39" s="152" t="s">
        <v>4</v>
      </c>
      <c r="C39" s="333">
        <f>SUM(C34:C38)</f>
        <v>1370</v>
      </c>
      <c r="D39" s="333">
        <f>SUM(D34:D38)</f>
        <v>1348</v>
      </c>
      <c r="E39" s="333">
        <f>SUM(E34:E38)</f>
        <v>19</v>
      </c>
      <c r="F39" s="333">
        <f>SUM(F34:F38)</f>
        <v>3</v>
      </c>
    </row>
    <row r="40" spans="1:6" ht="18.75" customHeight="1">
      <c r="A40" s="1023" t="s">
        <v>4</v>
      </c>
      <c r="B40" s="155" t="s">
        <v>488</v>
      </c>
      <c r="C40" s="336">
        <f>SUM(D40:F40)</f>
        <v>1</v>
      </c>
      <c r="D40" s="336">
        <f aca="true" t="shared" si="1" ref="D40:F45">D28+D34</f>
        <v>1</v>
      </c>
      <c r="E40" s="510">
        <f t="shared" si="1"/>
        <v>0</v>
      </c>
      <c r="F40" s="510">
        <f t="shared" si="1"/>
        <v>0</v>
      </c>
    </row>
    <row r="41" spans="1:6" ht="18.75" customHeight="1">
      <c r="A41" s="1023"/>
      <c r="B41" s="154" t="s">
        <v>489</v>
      </c>
      <c r="C41" s="337">
        <f>SUM(D41:F41)</f>
        <v>91</v>
      </c>
      <c r="D41" s="337">
        <f t="shared" si="1"/>
        <v>88</v>
      </c>
      <c r="E41" s="337">
        <f t="shared" si="1"/>
        <v>1</v>
      </c>
      <c r="F41" s="337">
        <f t="shared" si="1"/>
        <v>2</v>
      </c>
    </row>
    <row r="42" spans="1:6" ht="18.75" customHeight="1">
      <c r="A42" s="1023"/>
      <c r="B42" s="154" t="s">
        <v>490</v>
      </c>
      <c r="C42" s="337">
        <f>SUM(D42:F42)</f>
        <v>225</v>
      </c>
      <c r="D42" s="337">
        <f t="shared" si="1"/>
        <v>217</v>
      </c>
      <c r="E42" s="337">
        <f t="shared" si="1"/>
        <v>6</v>
      </c>
      <c r="F42" s="337">
        <f t="shared" si="1"/>
        <v>2</v>
      </c>
    </row>
    <row r="43" spans="1:6" ht="18.75" customHeight="1">
      <c r="A43" s="1023"/>
      <c r="B43" s="154" t="s">
        <v>491</v>
      </c>
      <c r="C43" s="337">
        <f>SUM(D43:F43)</f>
        <v>554</v>
      </c>
      <c r="D43" s="337">
        <f t="shared" si="1"/>
        <v>536</v>
      </c>
      <c r="E43" s="337">
        <f t="shared" si="1"/>
        <v>12</v>
      </c>
      <c r="F43" s="337">
        <f t="shared" si="1"/>
        <v>6</v>
      </c>
    </row>
    <row r="44" spans="1:6" ht="18.75" customHeight="1">
      <c r="A44" s="1023"/>
      <c r="B44" s="153" t="s">
        <v>492</v>
      </c>
      <c r="C44" s="340">
        <f>SUM(D44:F44)</f>
        <v>773</v>
      </c>
      <c r="D44" s="340">
        <f t="shared" si="1"/>
        <v>751</v>
      </c>
      <c r="E44" s="340">
        <f t="shared" si="1"/>
        <v>17</v>
      </c>
      <c r="F44" s="340">
        <f t="shared" si="1"/>
        <v>5</v>
      </c>
    </row>
    <row r="45" spans="1:6" ht="18.75" customHeight="1">
      <c r="A45" s="1023"/>
      <c r="B45" s="152" t="s">
        <v>4</v>
      </c>
      <c r="C45" s="333">
        <f>C33+C39</f>
        <v>1644</v>
      </c>
      <c r="D45" s="333">
        <f t="shared" si="1"/>
        <v>1593</v>
      </c>
      <c r="E45" s="333">
        <f t="shared" si="1"/>
        <v>36</v>
      </c>
      <c r="F45" s="333">
        <f t="shared" si="1"/>
        <v>15</v>
      </c>
    </row>
    <row r="85" ht="15" customHeight="1"/>
    <row r="86" ht="15" customHeight="1"/>
    <row r="87" ht="15" customHeight="1"/>
    <row r="88" ht="15" customHeight="1"/>
    <row r="89" ht="15" customHeight="1"/>
    <row r="90" ht="15" customHeight="1"/>
  </sheetData>
  <sheetProtection/>
  <mergeCells count="12">
    <mergeCell ref="C2:C4"/>
    <mergeCell ref="A5:A10"/>
    <mergeCell ref="A11:A16"/>
    <mergeCell ref="A17:A22"/>
    <mergeCell ref="A2:A4"/>
    <mergeCell ref="B2:B4"/>
    <mergeCell ref="A34:A39"/>
    <mergeCell ref="A40:A45"/>
    <mergeCell ref="A25:A27"/>
    <mergeCell ref="B25:B27"/>
    <mergeCell ref="C25:C27"/>
    <mergeCell ref="A28:A33"/>
  </mergeCells>
  <printOptions/>
  <pageMargins left="0.7086614173228347" right="0.7086614173228347" top="0.7480314960629921" bottom="0.7480314960629921" header="0.31496062992125984" footer="0.31496062992125984"/>
  <pageSetup firstPageNumber="89" useFirstPageNumber="1" fitToHeight="1" fitToWidth="1" horizontalDpi="600" verticalDpi="600" orientation="portrait" paperSize="9" scale="91"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30">
      <selection activeCell="G9" sqref="G9"/>
    </sheetView>
  </sheetViews>
  <sheetFormatPr defaultColWidth="9.00390625" defaultRowHeight="15" customHeight="1"/>
  <cols>
    <col min="1" max="1" width="6.25390625" style="83" customWidth="1"/>
    <col min="2" max="2" width="11.125" style="161" customWidth="1"/>
    <col min="3" max="3" width="11.125" style="83" customWidth="1"/>
    <col min="4" max="6" width="12.50390625" style="83" customWidth="1"/>
    <col min="7" max="16384" width="9.00390625" style="83" customWidth="1"/>
  </cols>
  <sheetData>
    <row r="1" ht="14.25">
      <c r="A1" s="84" t="s">
        <v>507</v>
      </c>
    </row>
    <row r="2" spans="1:6" ht="12">
      <c r="A2" s="1023" t="s">
        <v>166</v>
      </c>
      <c r="B2" s="1024" t="s">
        <v>195</v>
      </c>
      <c r="C2" s="1023" t="s">
        <v>196</v>
      </c>
      <c r="D2" s="130" t="s">
        <v>69</v>
      </c>
      <c r="E2" s="130" t="s">
        <v>199</v>
      </c>
      <c r="F2" s="130" t="s">
        <v>500</v>
      </c>
    </row>
    <row r="3" spans="1:6" ht="63" customHeight="1">
      <c r="A3" s="1023"/>
      <c r="B3" s="1024"/>
      <c r="C3" s="1023"/>
      <c r="D3" s="133" t="s">
        <v>508</v>
      </c>
      <c r="E3" s="133" t="s">
        <v>509</v>
      </c>
      <c r="F3" s="133" t="s">
        <v>510</v>
      </c>
    </row>
    <row r="4" spans="1:6" ht="18.75" customHeight="1">
      <c r="A4" s="1023"/>
      <c r="B4" s="1024"/>
      <c r="C4" s="1023"/>
      <c r="D4" s="129" t="s">
        <v>197</v>
      </c>
      <c r="E4" s="129" t="s">
        <v>197</v>
      </c>
      <c r="F4" s="129" t="s">
        <v>197</v>
      </c>
    </row>
    <row r="5" spans="1:6" ht="18" customHeight="1">
      <c r="A5" s="1023" t="s">
        <v>49</v>
      </c>
      <c r="B5" s="130" t="s">
        <v>483</v>
      </c>
      <c r="C5" s="336">
        <f>SUM(D5:F5)</f>
        <v>1</v>
      </c>
      <c r="D5" s="336">
        <v>1</v>
      </c>
      <c r="E5" s="513">
        <v>0</v>
      </c>
      <c r="F5" s="513">
        <v>0</v>
      </c>
    </row>
    <row r="6" spans="1:6" s="132" customFormat="1" ht="18" customHeight="1">
      <c r="A6" s="1023"/>
      <c r="B6" s="131" t="s">
        <v>484</v>
      </c>
      <c r="C6" s="337">
        <f>SUM(D6:F6)</f>
        <v>28</v>
      </c>
      <c r="D6" s="337">
        <v>23</v>
      </c>
      <c r="E6" s="343">
        <v>3</v>
      </c>
      <c r="F6" s="343">
        <v>2</v>
      </c>
    </row>
    <row r="7" spans="1:6" ht="18" customHeight="1">
      <c r="A7" s="1023"/>
      <c r="B7" s="131" t="s">
        <v>485</v>
      </c>
      <c r="C7" s="337">
        <f>SUM(D7:F7)</f>
        <v>56</v>
      </c>
      <c r="D7" s="337">
        <v>44</v>
      </c>
      <c r="E7" s="343">
        <v>9</v>
      </c>
      <c r="F7" s="343">
        <v>3</v>
      </c>
    </row>
    <row r="8" spans="1:6" ht="18" customHeight="1">
      <c r="A8" s="1023"/>
      <c r="B8" s="131" t="s">
        <v>486</v>
      </c>
      <c r="C8" s="337">
        <f>SUM(D8:F8)</f>
        <v>93</v>
      </c>
      <c r="D8" s="339">
        <v>63</v>
      </c>
      <c r="E8" s="343">
        <v>15</v>
      </c>
      <c r="F8" s="496">
        <v>15</v>
      </c>
    </row>
    <row r="9" spans="1:6" ht="18" customHeight="1">
      <c r="A9" s="1023"/>
      <c r="B9" s="133" t="s">
        <v>487</v>
      </c>
      <c r="C9" s="340">
        <f>SUM(D9:F9)</f>
        <v>96</v>
      </c>
      <c r="D9" s="341">
        <v>59</v>
      </c>
      <c r="E9" s="497">
        <v>18</v>
      </c>
      <c r="F9" s="497">
        <v>19</v>
      </c>
    </row>
    <row r="10" spans="1:6" ht="18" customHeight="1">
      <c r="A10" s="1023"/>
      <c r="B10" s="129" t="s">
        <v>4</v>
      </c>
      <c r="C10" s="333">
        <f>SUM(C5:C9)</f>
        <v>274</v>
      </c>
      <c r="D10" s="344">
        <f>SUM(D5:D9)</f>
        <v>190</v>
      </c>
      <c r="E10" s="344">
        <f>SUM(E5:E9)</f>
        <v>45</v>
      </c>
      <c r="F10" s="344">
        <f>SUM(F5:F9)</f>
        <v>39</v>
      </c>
    </row>
    <row r="11" spans="1:6" ht="18" customHeight="1">
      <c r="A11" s="1023" t="s">
        <v>50</v>
      </c>
      <c r="B11" s="130" t="s">
        <v>483</v>
      </c>
      <c r="C11" s="512">
        <f>SUM(D11:F11)</f>
        <v>0</v>
      </c>
      <c r="D11" s="510">
        <v>0</v>
      </c>
      <c r="E11" s="513">
        <v>0</v>
      </c>
      <c r="F11" s="513">
        <v>0</v>
      </c>
    </row>
    <row r="12" spans="1:6" ht="18" customHeight="1">
      <c r="A12" s="1023"/>
      <c r="B12" s="131" t="s">
        <v>484</v>
      </c>
      <c r="C12" s="337">
        <f>SUM(D12:F12)</f>
        <v>63</v>
      </c>
      <c r="D12" s="337">
        <v>54</v>
      </c>
      <c r="E12" s="343">
        <v>6</v>
      </c>
      <c r="F12" s="343">
        <v>3</v>
      </c>
    </row>
    <row r="13" spans="1:6" ht="18" customHeight="1">
      <c r="A13" s="1023"/>
      <c r="B13" s="131" t="s">
        <v>485</v>
      </c>
      <c r="C13" s="337">
        <f>SUM(D13:F13)</f>
        <v>169</v>
      </c>
      <c r="D13" s="337">
        <v>137</v>
      </c>
      <c r="E13" s="343">
        <v>19</v>
      </c>
      <c r="F13" s="343">
        <v>13</v>
      </c>
    </row>
    <row r="14" spans="1:6" ht="18" customHeight="1">
      <c r="A14" s="1023"/>
      <c r="B14" s="131" t="s">
        <v>486</v>
      </c>
      <c r="C14" s="337">
        <f>SUM(D14:F14)</f>
        <v>461</v>
      </c>
      <c r="D14" s="339">
        <v>381</v>
      </c>
      <c r="E14" s="343">
        <v>58</v>
      </c>
      <c r="F14" s="343">
        <v>22</v>
      </c>
    </row>
    <row r="15" spans="1:6" ht="18" customHeight="1">
      <c r="A15" s="1023"/>
      <c r="B15" s="133" t="s">
        <v>487</v>
      </c>
      <c r="C15" s="340">
        <f>SUM(D15:F15)</f>
        <v>677</v>
      </c>
      <c r="D15" s="341">
        <v>541</v>
      </c>
      <c r="E15" s="345">
        <v>85</v>
      </c>
      <c r="F15" s="345">
        <v>51</v>
      </c>
    </row>
    <row r="16" spans="1:6" ht="18" customHeight="1">
      <c r="A16" s="1023"/>
      <c r="B16" s="129" t="s">
        <v>4</v>
      </c>
      <c r="C16" s="333">
        <f>SUM(C11:C15)</f>
        <v>1370</v>
      </c>
      <c r="D16" s="344">
        <f>SUM(D11:D15)</f>
        <v>1113</v>
      </c>
      <c r="E16" s="344">
        <f>SUM(E11:E15)</f>
        <v>168</v>
      </c>
      <c r="F16" s="344">
        <f>SUM(F11:F15)</f>
        <v>89</v>
      </c>
    </row>
    <row r="17" spans="1:6" ht="18" customHeight="1">
      <c r="A17" s="1023" t="s">
        <v>4</v>
      </c>
      <c r="B17" s="130" t="s">
        <v>488</v>
      </c>
      <c r="C17" s="336">
        <f>SUM(D17:F17)</f>
        <v>1</v>
      </c>
      <c r="D17" s="342">
        <f aca="true" t="shared" si="0" ref="D17:F22">D5+D11</f>
        <v>1</v>
      </c>
      <c r="E17" s="513">
        <f t="shared" si="0"/>
        <v>0</v>
      </c>
      <c r="F17" s="513">
        <f t="shared" si="0"/>
        <v>0</v>
      </c>
    </row>
    <row r="18" spans="1:6" ht="18" customHeight="1">
      <c r="A18" s="1023"/>
      <c r="B18" s="131" t="s">
        <v>489</v>
      </c>
      <c r="C18" s="337">
        <f>SUM(D18:F18)</f>
        <v>91</v>
      </c>
      <c r="D18" s="343">
        <f t="shared" si="0"/>
        <v>77</v>
      </c>
      <c r="E18" s="343">
        <f t="shared" si="0"/>
        <v>9</v>
      </c>
      <c r="F18" s="343">
        <f t="shared" si="0"/>
        <v>5</v>
      </c>
    </row>
    <row r="19" spans="1:6" ht="18" customHeight="1">
      <c r="A19" s="1023"/>
      <c r="B19" s="131" t="s">
        <v>490</v>
      </c>
      <c r="C19" s="337">
        <f>SUM(D19:F19)</f>
        <v>225</v>
      </c>
      <c r="D19" s="343">
        <f t="shared" si="0"/>
        <v>181</v>
      </c>
      <c r="E19" s="343">
        <f t="shared" si="0"/>
        <v>28</v>
      </c>
      <c r="F19" s="343">
        <f t="shared" si="0"/>
        <v>16</v>
      </c>
    </row>
    <row r="20" spans="1:6" ht="18" customHeight="1">
      <c r="A20" s="1023"/>
      <c r="B20" s="131" t="s">
        <v>491</v>
      </c>
      <c r="C20" s="337">
        <f>SUM(D20:F20)</f>
        <v>554</v>
      </c>
      <c r="D20" s="343">
        <f t="shared" si="0"/>
        <v>444</v>
      </c>
      <c r="E20" s="343">
        <f t="shared" si="0"/>
        <v>73</v>
      </c>
      <c r="F20" s="343">
        <f t="shared" si="0"/>
        <v>37</v>
      </c>
    </row>
    <row r="21" spans="1:6" ht="18" customHeight="1">
      <c r="A21" s="1023"/>
      <c r="B21" s="133" t="s">
        <v>492</v>
      </c>
      <c r="C21" s="340">
        <f>SUM(D21:F21)</f>
        <v>773</v>
      </c>
      <c r="D21" s="345">
        <f t="shared" si="0"/>
        <v>600</v>
      </c>
      <c r="E21" s="345">
        <f t="shared" si="0"/>
        <v>103</v>
      </c>
      <c r="F21" s="345">
        <f t="shared" si="0"/>
        <v>70</v>
      </c>
    </row>
    <row r="22" spans="1:6" ht="18" customHeight="1">
      <c r="A22" s="1023"/>
      <c r="B22" s="129" t="s">
        <v>4</v>
      </c>
      <c r="C22" s="333">
        <f>C10+C16</f>
        <v>1644</v>
      </c>
      <c r="D22" s="344">
        <f t="shared" si="0"/>
        <v>1303</v>
      </c>
      <c r="E22" s="344">
        <f t="shared" si="0"/>
        <v>213</v>
      </c>
      <c r="F22" s="344">
        <f t="shared" si="0"/>
        <v>128</v>
      </c>
    </row>
    <row r="23" ht="18.75" customHeight="1"/>
    <row r="24" ht="18.75" customHeight="1">
      <c r="A24" s="84" t="s">
        <v>511</v>
      </c>
    </row>
    <row r="25" spans="1:6" ht="18.75" customHeight="1">
      <c r="A25" s="1023" t="s">
        <v>166</v>
      </c>
      <c r="B25" s="1024" t="s">
        <v>195</v>
      </c>
      <c r="C25" s="1023" t="s">
        <v>196</v>
      </c>
      <c r="D25" s="130" t="s">
        <v>69</v>
      </c>
      <c r="E25" s="130" t="s">
        <v>199</v>
      </c>
      <c r="F25" s="130" t="s">
        <v>493</v>
      </c>
    </row>
    <row r="26" spans="1:6" ht="18.75" customHeight="1">
      <c r="A26" s="1023"/>
      <c r="B26" s="1024"/>
      <c r="C26" s="1023"/>
      <c r="D26" s="133" t="s">
        <v>512</v>
      </c>
      <c r="E26" s="133" t="s">
        <v>513</v>
      </c>
      <c r="F26" s="133" t="s">
        <v>514</v>
      </c>
    </row>
    <row r="27" spans="1:6" ht="18.75" customHeight="1">
      <c r="A27" s="1023"/>
      <c r="B27" s="1024"/>
      <c r="C27" s="1023"/>
      <c r="D27" s="129" t="s">
        <v>197</v>
      </c>
      <c r="E27" s="129" t="s">
        <v>197</v>
      </c>
      <c r="F27" s="129" t="s">
        <v>197</v>
      </c>
    </row>
    <row r="28" spans="1:6" ht="18" customHeight="1">
      <c r="A28" s="1023" t="s">
        <v>49</v>
      </c>
      <c r="B28" s="130" t="s">
        <v>483</v>
      </c>
      <c r="C28" s="336">
        <f>SUM(D28:F28)</f>
        <v>1</v>
      </c>
      <c r="D28" s="336">
        <v>1</v>
      </c>
      <c r="E28" s="513">
        <v>0</v>
      </c>
      <c r="F28" s="513">
        <v>0</v>
      </c>
    </row>
    <row r="29" spans="1:6" s="132" customFormat="1" ht="18" customHeight="1">
      <c r="A29" s="1023"/>
      <c r="B29" s="131" t="s">
        <v>484</v>
      </c>
      <c r="C29" s="339">
        <f>SUM(D29:F29)</f>
        <v>28</v>
      </c>
      <c r="D29" s="337">
        <v>27</v>
      </c>
      <c r="E29" s="514">
        <v>0</v>
      </c>
      <c r="F29" s="343">
        <v>1</v>
      </c>
    </row>
    <row r="30" spans="1:6" ht="18" customHeight="1">
      <c r="A30" s="1023"/>
      <c r="B30" s="131" t="s">
        <v>485</v>
      </c>
      <c r="C30" s="339">
        <f>SUM(D30:F30)</f>
        <v>56</v>
      </c>
      <c r="D30" s="337">
        <v>50</v>
      </c>
      <c r="E30" s="343">
        <v>5</v>
      </c>
      <c r="F30" s="343">
        <v>1</v>
      </c>
    </row>
    <row r="31" spans="1:6" ht="18" customHeight="1">
      <c r="A31" s="1023"/>
      <c r="B31" s="131" t="s">
        <v>486</v>
      </c>
      <c r="C31" s="337">
        <f>SUM(D31:F31)</f>
        <v>93</v>
      </c>
      <c r="D31" s="339">
        <v>82</v>
      </c>
      <c r="E31" s="343">
        <v>8</v>
      </c>
      <c r="F31" s="496">
        <v>3</v>
      </c>
    </row>
    <row r="32" spans="1:6" ht="18" customHeight="1">
      <c r="A32" s="1023"/>
      <c r="B32" s="133" t="s">
        <v>487</v>
      </c>
      <c r="C32" s="341">
        <f>SUM(D32:F32)</f>
        <v>96</v>
      </c>
      <c r="D32" s="341">
        <v>85</v>
      </c>
      <c r="E32" s="497">
        <v>6</v>
      </c>
      <c r="F32" s="497">
        <v>5</v>
      </c>
    </row>
    <row r="33" spans="1:6" ht="18" customHeight="1">
      <c r="A33" s="1023"/>
      <c r="B33" s="129" t="s">
        <v>4</v>
      </c>
      <c r="C33" s="333">
        <f>SUM(C28:C32)</f>
        <v>274</v>
      </c>
      <c r="D33" s="344">
        <f>SUM(D28:D32)</f>
        <v>245</v>
      </c>
      <c r="E33" s="344">
        <f>SUM(E28:E32)</f>
        <v>19</v>
      </c>
      <c r="F33" s="344">
        <f>SUM(F28:F32)</f>
        <v>10</v>
      </c>
    </row>
    <row r="34" spans="1:6" ht="18" customHeight="1">
      <c r="A34" s="1023" t="s">
        <v>50</v>
      </c>
      <c r="B34" s="130" t="s">
        <v>483</v>
      </c>
      <c r="C34" s="512">
        <f>SUM(D34:F34)</f>
        <v>0</v>
      </c>
      <c r="D34" s="510">
        <v>0</v>
      </c>
      <c r="E34" s="513">
        <v>0</v>
      </c>
      <c r="F34" s="513">
        <v>0</v>
      </c>
    </row>
    <row r="35" spans="1:6" ht="18" customHeight="1">
      <c r="A35" s="1023"/>
      <c r="B35" s="131" t="s">
        <v>484</v>
      </c>
      <c r="C35" s="337">
        <f>SUM(D35:F35)</f>
        <v>63</v>
      </c>
      <c r="D35" s="337">
        <v>62</v>
      </c>
      <c r="E35" s="343">
        <v>1</v>
      </c>
      <c r="F35" s="514">
        <v>0</v>
      </c>
    </row>
    <row r="36" spans="1:6" ht="18" customHeight="1">
      <c r="A36" s="1023"/>
      <c r="B36" s="131" t="s">
        <v>485</v>
      </c>
      <c r="C36" s="337">
        <f>SUM(D36:F36)</f>
        <v>169</v>
      </c>
      <c r="D36" s="337">
        <v>164</v>
      </c>
      <c r="E36" s="496">
        <v>4</v>
      </c>
      <c r="F36" s="343">
        <v>1</v>
      </c>
    </row>
    <row r="37" spans="1:6" ht="18" customHeight="1">
      <c r="A37" s="1023"/>
      <c r="B37" s="131" t="s">
        <v>486</v>
      </c>
      <c r="C37" s="337">
        <f>SUM(D37:F37)</f>
        <v>461</v>
      </c>
      <c r="D37" s="339">
        <v>452</v>
      </c>
      <c r="E37" s="343">
        <v>7</v>
      </c>
      <c r="F37" s="343">
        <v>2</v>
      </c>
    </row>
    <row r="38" spans="1:6" ht="18" customHeight="1">
      <c r="A38" s="1023"/>
      <c r="B38" s="133" t="s">
        <v>487</v>
      </c>
      <c r="C38" s="341">
        <f>SUM(D38:F38)</f>
        <v>677</v>
      </c>
      <c r="D38" s="341">
        <v>667</v>
      </c>
      <c r="E38" s="345">
        <v>7</v>
      </c>
      <c r="F38" s="345">
        <v>3</v>
      </c>
    </row>
    <row r="39" spans="1:6" ht="18" customHeight="1">
      <c r="A39" s="1023"/>
      <c r="B39" s="129" t="s">
        <v>4</v>
      </c>
      <c r="C39" s="333">
        <f>SUM(C34:C38)</f>
        <v>1370</v>
      </c>
      <c r="D39" s="344">
        <f>SUM(D34:D38)</f>
        <v>1345</v>
      </c>
      <c r="E39" s="344">
        <f>SUM(E34:E38)</f>
        <v>19</v>
      </c>
      <c r="F39" s="344">
        <f>SUM(F34:F38)</f>
        <v>6</v>
      </c>
    </row>
    <row r="40" spans="1:6" ht="18" customHeight="1">
      <c r="A40" s="1023" t="s">
        <v>4</v>
      </c>
      <c r="B40" s="130" t="s">
        <v>488</v>
      </c>
      <c r="C40" s="336">
        <f>SUM(D40:F40)</f>
        <v>1</v>
      </c>
      <c r="D40" s="342">
        <f aca="true" t="shared" si="1" ref="D40:F45">D28+D34</f>
        <v>1</v>
      </c>
      <c r="E40" s="513">
        <f t="shared" si="1"/>
        <v>0</v>
      </c>
      <c r="F40" s="513">
        <f t="shared" si="1"/>
        <v>0</v>
      </c>
    </row>
    <row r="41" spans="1:6" ht="18" customHeight="1">
      <c r="A41" s="1023"/>
      <c r="B41" s="131" t="s">
        <v>489</v>
      </c>
      <c r="C41" s="337">
        <f>SUM(D41:F41)</f>
        <v>91</v>
      </c>
      <c r="D41" s="343">
        <f t="shared" si="1"/>
        <v>89</v>
      </c>
      <c r="E41" s="343">
        <f t="shared" si="1"/>
        <v>1</v>
      </c>
      <c r="F41" s="343">
        <f t="shared" si="1"/>
        <v>1</v>
      </c>
    </row>
    <row r="42" spans="1:6" ht="18" customHeight="1">
      <c r="A42" s="1023"/>
      <c r="B42" s="131" t="s">
        <v>490</v>
      </c>
      <c r="C42" s="337">
        <f>SUM(D42:F42)</f>
        <v>225</v>
      </c>
      <c r="D42" s="343">
        <f t="shared" si="1"/>
        <v>214</v>
      </c>
      <c r="E42" s="343">
        <f t="shared" si="1"/>
        <v>9</v>
      </c>
      <c r="F42" s="343">
        <f t="shared" si="1"/>
        <v>2</v>
      </c>
    </row>
    <row r="43" spans="1:6" ht="18" customHeight="1">
      <c r="A43" s="1023"/>
      <c r="B43" s="131" t="s">
        <v>491</v>
      </c>
      <c r="C43" s="337">
        <f>SUM(D43:F43)</f>
        <v>554</v>
      </c>
      <c r="D43" s="343">
        <f t="shared" si="1"/>
        <v>534</v>
      </c>
      <c r="E43" s="343">
        <f t="shared" si="1"/>
        <v>15</v>
      </c>
      <c r="F43" s="343">
        <f t="shared" si="1"/>
        <v>5</v>
      </c>
    </row>
    <row r="44" spans="1:6" ht="18" customHeight="1">
      <c r="A44" s="1023"/>
      <c r="B44" s="133" t="s">
        <v>492</v>
      </c>
      <c r="C44" s="340">
        <f>SUM(D44:F44)</f>
        <v>773</v>
      </c>
      <c r="D44" s="345">
        <f t="shared" si="1"/>
        <v>752</v>
      </c>
      <c r="E44" s="345">
        <f t="shared" si="1"/>
        <v>13</v>
      </c>
      <c r="F44" s="345">
        <f t="shared" si="1"/>
        <v>8</v>
      </c>
    </row>
    <row r="45" spans="1:6" ht="18" customHeight="1">
      <c r="A45" s="1023"/>
      <c r="B45" s="129" t="s">
        <v>4</v>
      </c>
      <c r="C45" s="333">
        <f>C33+C39</f>
        <v>1644</v>
      </c>
      <c r="D45" s="344">
        <f t="shared" si="1"/>
        <v>1590</v>
      </c>
      <c r="E45" s="344">
        <f t="shared" si="1"/>
        <v>38</v>
      </c>
      <c r="F45" s="344">
        <f t="shared" si="1"/>
        <v>16</v>
      </c>
    </row>
    <row r="46" ht="18.75" customHeight="1"/>
  </sheetData>
  <sheetProtection/>
  <mergeCells count="12">
    <mergeCell ref="B25:B27"/>
    <mergeCell ref="C25:C27"/>
    <mergeCell ref="A2:A4"/>
    <mergeCell ref="B2:B4"/>
    <mergeCell ref="C2:C4"/>
    <mergeCell ref="A28:A33"/>
    <mergeCell ref="A34:A39"/>
    <mergeCell ref="A40:A45"/>
    <mergeCell ref="A5:A10"/>
    <mergeCell ref="A11:A16"/>
    <mergeCell ref="A17:A22"/>
    <mergeCell ref="A25:A27"/>
  </mergeCells>
  <printOptions/>
  <pageMargins left="0.7086614173228347" right="0.7086614173228347" top="0.7480314960629921" bottom="0.7480314960629921" header="0.31496062992125984" footer="0.31496062992125984"/>
  <pageSetup firstPageNumber="90" useFirstPageNumber="1" horizontalDpi="600" verticalDpi="600" orientation="portrait" paperSize="9" scale="95"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1">
      <selection activeCell="G9" sqref="G9"/>
    </sheetView>
  </sheetViews>
  <sheetFormatPr defaultColWidth="9.00390625" defaultRowHeight="15" customHeight="1"/>
  <cols>
    <col min="1" max="1" width="6.25390625" style="151" customWidth="1"/>
    <col min="2" max="2" width="11.125" style="160" customWidth="1"/>
    <col min="3" max="3" width="11.125" style="151" customWidth="1"/>
    <col min="4" max="6" width="12.50390625" style="151" customWidth="1"/>
    <col min="7" max="16384" width="9.00390625" style="151" customWidth="1"/>
  </cols>
  <sheetData>
    <row r="1" ht="18.75" customHeight="1">
      <c r="A1" s="84" t="s">
        <v>515</v>
      </c>
    </row>
    <row r="2" spans="1:6" ht="12">
      <c r="A2" s="1023" t="s">
        <v>166</v>
      </c>
      <c r="B2" s="1024" t="s">
        <v>195</v>
      </c>
      <c r="C2" s="1023" t="s">
        <v>196</v>
      </c>
      <c r="D2" s="155" t="s">
        <v>69</v>
      </c>
      <c r="E2" s="155" t="s">
        <v>199</v>
      </c>
      <c r="F2" s="155" t="s">
        <v>500</v>
      </c>
    </row>
    <row r="3" spans="1:6" ht="63" customHeight="1">
      <c r="A3" s="1023"/>
      <c r="B3" s="1024"/>
      <c r="C3" s="1023"/>
      <c r="D3" s="153" t="s">
        <v>516</v>
      </c>
      <c r="E3" s="153" t="s">
        <v>517</v>
      </c>
      <c r="F3" s="153" t="s">
        <v>518</v>
      </c>
    </row>
    <row r="4" spans="1:6" ht="16.5" customHeight="1">
      <c r="A4" s="1023"/>
      <c r="B4" s="1024"/>
      <c r="C4" s="1023"/>
      <c r="D4" s="152" t="s">
        <v>197</v>
      </c>
      <c r="E4" s="152" t="s">
        <v>197</v>
      </c>
      <c r="F4" s="152" t="s">
        <v>197</v>
      </c>
    </row>
    <row r="5" spans="1:6" ht="18" customHeight="1">
      <c r="A5" s="1023" t="s">
        <v>49</v>
      </c>
      <c r="B5" s="155" t="s">
        <v>483</v>
      </c>
      <c r="C5" s="336">
        <f>SUM(D5:F5)</f>
        <v>1</v>
      </c>
      <c r="D5" s="336">
        <v>1</v>
      </c>
      <c r="E5" s="510">
        <v>0</v>
      </c>
      <c r="F5" s="510">
        <v>0</v>
      </c>
    </row>
    <row r="6" spans="1:6" s="156" customFormat="1" ht="18" customHeight="1">
      <c r="A6" s="1023"/>
      <c r="B6" s="154" t="s">
        <v>484</v>
      </c>
      <c r="C6" s="339">
        <f>SUM(D6:F6)</f>
        <v>28</v>
      </c>
      <c r="D6" s="337">
        <v>22</v>
      </c>
      <c r="E6" s="337">
        <v>3</v>
      </c>
      <c r="F6" s="337">
        <v>3</v>
      </c>
    </row>
    <row r="7" spans="1:6" ht="18" customHeight="1">
      <c r="A7" s="1023"/>
      <c r="B7" s="154" t="s">
        <v>485</v>
      </c>
      <c r="C7" s="339">
        <f>SUM(D7:F7)</f>
        <v>56</v>
      </c>
      <c r="D7" s="337">
        <v>41</v>
      </c>
      <c r="E7" s="337">
        <v>9</v>
      </c>
      <c r="F7" s="337">
        <v>6</v>
      </c>
    </row>
    <row r="8" spans="1:6" ht="18" customHeight="1">
      <c r="A8" s="1023"/>
      <c r="B8" s="154" t="s">
        <v>486</v>
      </c>
      <c r="C8" s="337">
        <f>SUM(D8:F8)</f>
        <v>93</v>
      </c>
      <c r="D8" s="339">
        <v>65</v>
      </c>
      <c r="E8" s="337">
        <v>18</v>
      </c>
      <c r="F8" s="339">
        <v>10</v>
      </c>
    </row>
    <row r="9" spans="1:6" ht="18" customHeight="1">
      <c r="A9" s="1023"/>
      <c r="B9" s="153" t="s">
        <v>487</v>
      </c>
      <c r="C9" s="341">
        <f>SUM(D9:F9)</f>
        <v>96</v>
      </c>
      <c r="D9" s="341">
        <v>63</v>
      </c>
      <c r="E9" s="341">
        <v>23</v>
      </c>
      <c r="F9" s="341">
        <v>10</v>
      </c>
    </row>
    <row r="10" spans="1:6" ht="18" customHeight="1">
      <c r="A10" s="1023"/>
      <c r="B10" s="152" t="s">
        <v>4</v>
      </c>
      <c r="C10" s="333">
        <f>SUM(C5:C9)</f>
        <v>274</v>
      </c>
      <c r="D10" s="333">
        <f>SUM(D5:D9)</f>
        <v>192</v>
      </c>
      <c r="E10" s="333">
        <f>SUM(E5:E9)</f>
        <v>53</v>
      </c>
      <c r="F10" s="333">
        <f>SUM(F5:F9)</f>
        <v>29</v>
      </c>
    </row>
    <row r="11" spans="1:6" ht="18" customHeight="1">
      <c r="A11" s="1023" t="s">
        <v>50</v>
      </c>
      <c r="B11" s="155" t="s">
        <v>483</v>
      </c>
      <c r="C11" s="512">
        <f>SUM(D11:F11)</f>
        <v>0</v>
      </c>
      <c r="D11" s="510">
        <v>0</v>
      </c>
      <c r="E11" s="510">
        <v>0</v>
      </c>
      <c r="F11" s="510">
        <v>0</v>
      </c>
    </row>
    <row r="12" spans="1:6" ht="18" customHeight="1">
      <c r="A12" s="1023"/>
      <c r="B12" s="154" t="s">
        <v>484</v>
      </c>
      <c r="C12" s="337">
        <f>SUM(D12:F12)</f>
        <v>63</v>
      </c>
      <c r="D12" s="337">
        <v>61</v>
      </c>
      <c r="E12" s="337">
        <v>1</v>
      </c>
      <c r="F12" s="337">
        <v>1</v>
      </c>
    </row>
    <row r="13" spans="1:6" ht="18" customHeight="1">
      <c r="A13" s="1023"/>
      <c r="B13" s="154" t="s">
        <v>485</v>
      </c>
      <c r="C13" s="337">
        <f>SUM(D13:F13)</f>
        <v>169</v>
      </c>
      <c r="D13" s="337">
        <v>162</v>
      </c>
      <c r="E13" s="337">
        <v>5</v>
      </c>
      <c r="F13" s="337">
        <v>2</v>
      </c>
    </row>
    <row r="14" spans="1:6" ht="18" customHeight="1">
      <c r="A14" s="1023"/>
      <c r="B14" s="154" t="s">
        <v>486</v>
      </c>
      <c r="C14" s="337">
        <f>SUM(D14:F14)</f>
        <v>461</v>
      </c>
      <c r="D14" s="339">
        <v>440</v>
      </c>
      <c r="E14" s="337">
        <v>14</v>
      </c>
      <c r="F14" s="337">
        <v>7</v>
      </c>
    </row>
    <row r="15" spans="1:6" ht="18" customHeight="1">
      <c r="A15" s="1023"/>
      <c r="B15" s="153" t="s">
        <v>487</v>
      </c>
      <c r="C15" s="341">
        <f>SUM(D15:F15)</f>
        <v>677</v>
      </c>
      <c r="D15" s="341">
        <v>650</v>
      </c>
      <c r="E15" s="340">
        <v>18</v>
      </c>
      <c r="F15" s="340">
        <v>9</v>
      </c>
    </row>
    <row r="16" spans="1:6" ht="18" customHeight="1">
      <c r="A16" s="1023"/>
      <c r="B16" s="152" t="s">
        <v>4</v>
      </c>
      <c r="C16" s="333">
        <f>SUM(C11:C15)</f>
        <v>1370</v>
      </c>
      <c r="D16" s="333">
        <f>SUM(D11:D15)</f>
        <v>1313</v>
      </c>
      <c r="E16" s="333">
        <f>SUM(E11:E15)</f>
        <v>38</v>
      </c>
      <c r="F16" s="333">
        <f>SUM(F11:F15)</f>
        <v>19</v>
      </c>
    </row>
    <row r="17" spans="1:6" ht="18" customHeight="1">
      <c r="A17" s="1023" t="s">
        <v>4</v>
      </c>
      <c r="B17" s="155" t="s">
        <v>488</v>
      </c>
      <c r="C17" s="336">
        <f>SUM(D17:F17)</f>
        <v>1</v>
      </c>
      <c r="D17" s="336">
        <f aca="true" t="shared" si="0" ref="D17:F22">D5+D11</f>
        <v>1</v>
      </c>
      <c r="E17" s="510">
        <f t="shared" si="0"/>
        <v>0</v>
      </c>
      <c r="F17" s="510">
        <f t="shared" si="0"/>
        <v>0</v>
      </c>
    </row>
    <row r="18" spans="1:6" ht="18" customHeight="1">
      <c r="A18" s="1023"/>
      <c r="B18" s="154" t="s">
        <v>489</v>
      </c>
      <c r="C18" s="337">
        <f>SUM(D18:F18)</f>
        <v>91</v>
      </c>
      <c r="D18" s="337">
        <f t="shared" si="0"/>
        <v>83</v>
      </c>
      <c r="E18" s="337">
        <f t="shared" si="0"/>
        <v>4</v>
      </c>
      <c r="F18" s="337">
        <f t="shared" si="0"/>
        <v>4</v>
      </c>
    </row>
    <row r="19" spans="1:6" ht="18" customHeight="1">
      <c r="A19" s="1023"/>
      <c r="B19" s="154" t="s">
        <v>490</v>
      </c>
      <c r="C19" s="337">
        <f>SUM(D19:F19)</f>
        <v>225</v>
      </c>
      <c r="D19" s="337">
        <f t="shared" si="0"/>
        <v>203</v>
      </c>
      <c r="E19" s="337">
        <f t="shared" si="0"/>
        <v>14</v>
      </c>
      <c r="F19" s="337">
        <f t="shared" si="0"/>
        <v>8</v>
      </c>
    </row>
    <row r="20" spans="1:6" ht="18" customHeight="1">
      <c r="A20" s="1023"/>
      <c r="B20" s="154" t="s">
        <v>491</v>
      </c>
      <c r="C20" s="337">
        <f>SUM(D20:F20)</f>
        <v>554</v>
      </c>
      <c r="D20" s="337">
        <f t="shared" si="0"/>
        <v>505</v>
      </c>
      <c r="E20" s="337">
        <f t="shared" si="0"/>
        <v>32</v>
      </c>
      <c r="F20" s="337">
        <f t="shared" si="0"/>
        <v>17</v>
      </c>
    </row>
    <row r="21" spans="1:6" ht="18" customHeight="1">
      <c r="A21" s="1023"/>
      <c r="B21" s="153" t="s">
        <v>492</v>
      </c>
      <c r="C21" s="340">
        <f>SUM(D21:F21)</f>
        <v>773</v>
      </c>
      <c r="D21" s="340">
        <f t="shared" si="0"/>
        <v>713</v>
      </c>
      <c r="E21" s="340">
        <f t="shared" si="0"/>
        <v>41</v>
      </c>
      <c r="F21" s="340">
        <f t="shared" si="0"/>
        <v>19</v>
      </c>
    </row>
    <row r="22" spans="1:6" ht="18" customHeight="1">
      <c r="A22" s="1023"/>
      <c r="B22" s="152" t="s">
        <v>4</v>
      </c>
      <c r="C22" s="333">
        <f>C10+C16</f>
        <v>1644</v>
      </c>
      <c r="D22" s="333">
        <f t="shared" si="0"/>
        <v>1505</v>
      </c>
      <c r="E22" s="333">
        <f t="shared" si="0"/>
        <v>91</v>
      </c>
      <c r="F22" s="333">
        <f t="shared" si="0"/>
        <v>48</v>
      </c>
    </row>
    <row r="23" ht="16.5" customHeight="1"/>
    <row r="24" ht="16.5" customHeight="1">
      <c r="A24" s="84" t="s">
        <v>519</v>
      </c>
    </row>
    <row r="25" spans="1:6" ht="16.5" customHeight="1">
      <c r="A25" s="1023" t="s">
        <v>166</v>
      </c>
      <c r="B25" s="1024" t="s">
        <v>195</v>
      </c>
      <c r="C25" s="1023" t="s">
        <v>196</v>
      </c>
      <c r="D25" s="155" t="s">
        <v>69</v>
      </c>
      <c r="E25" s="155" t="s">
        <v>199</v>
      </c>
      <c r="F25" s="155" t="s">
        <v>493</v>
      </c>
    </row>
    <row r="26" spans="1:6" ht="16.5" customHeight="1">
      <c r="A26" s="1023"/>
      <c r="B26" s="1024"/>
      <c r="C26" s="1023"/>
      <c r="D26" s="153" t="s">
        <v>520</v>
      </c>
      <c r="E26" s="153" t="s">
        <v>521</v>
      </c>
      <c r="F26" s="153" t="s">
        <v>522</v>
      </c>
    </row>
    <row r="27" spans="1:6" ht="16.5" customHeight="1">
      <c r="A27" s="1023"/>
      <c r="B27" s="1024"/>
      <c r="C27" s="1023"/>
      <c r="D27" s="152" t="s">
        <v>197</v>
      </c>
      <c r="E27" s="152" t="s">
        <v>197</v>
      </c>
      <c r="F27" s="152" t="s">
        <v>197</v>
      </c>
    </row>
    <row r="28" spans="1:6" ht="18" customHeight="1">
      <c r="A28" s="1023" t="s">
        <v>49</v>
      </c>
      <c r="B28" s="155" t="s">
        <v>483</v>
      </c>
      <c r="C28" s="336">
        <f>SUM(D28:F28)</f>
        <v>1</v>
      </c>
      <c r="D28" s="336">
        <v>1</v>
      </c>
      <c r="E28" s="510">
        <v>0</v>
      </c>
      <c r="F28" s="510">
        <v>0</v>
      </c>
    </row>
    <row r="29" spans="1:6" s="156" customFormat="1" ht="18" customHeight="1">
      <c r="A29" s="1023"/>
      <c r="B29" s="154" t="s">
        <v>484</v>
      </c>
      <c r="C29" s="339">
        <f>SUM(D29:F29)</f>
        <v>28</v>
      </c>
      <c r="D29" s="337">
        <v>27</v>
      </c>
      <c r="E29" s="337">
        <v>1</v>
      </c>
      <c r="F29" s="511">
        <v>0</v>
      </c>
    </row>
    <row r="30" spans="1:6" ht="18" customHeight="1">
      <c r="A30" s="1023"/>
      <c r="B30" s="154" t="s">
        <v>485</v>
      </c>
      <c r="C30" s="339">
        <f>SUM(D30:F30)</f>
        <v>56</v>
      </c>
      <c r="D30" s="337">
        <v>50</v>
      </c>
      <c r="E30" s="337">
        <v>6</v>
      </c>
      <c r="F30" s="511">
        <v>0</v>
      </c>
    </row>
    <row r="31" spans="1:6" ht="18" customHeight="1">
      <c r="A31" s="1023"/>
      <c r="B31" s="154" t="s">
        <v>486</v>
      </c>
      <c r="C31" s="337">
        <f>SUM(D31:F31)</f>
        <v>93</v>
      </c>
      <c r="D31" s="339">
        <v>82</v>
      </c>
      <c r="E31" s="337">
        <v>6</v>
      </c>
      <c r="F31" s="339">
        <v>5</v>
      </c>
    </row>
    <row r="32" spans="1:6" ht="18" customHeight="1">
      <c r="A32" s="1023"/>
      <c r="B32" s="153" t="s">
        <v>487</v>
      </c>
      <c r="C32" s="341">
        <f>SUM(D32:F32)</f>
        <v>96</v>
      </c>
      <c r="D32" s="341">
        <v>76</v>
      </c>
      <c r="E32" s="341">
        <v>14</v>
      </c>
      <c r="F32" s="341">
        <v>6</v>
      </c>
    </row>
    <row r="33" spans="1:6" ht="18" customHeight="1">
      <c r="A33" s="1023"/>
      <c r="B33" s="152" t="s">
        <v>4</v>
      </c>
      <c r="C33" s="333">
        <f>SUM(C28:C32)</f>
        <v>274</v>
      </c>
      <c r="D33" s="333">
        <f>SUM(D28:D32)</f>
        <v>236</v>
      </c>
      <c r="E33" s="333">
        <f>SUM(E28:E32)</f>
        <v>27</v>
      </c>
      <c r="F33" s="333">
        <f>SUM(F28:F32)</f>
        <v>11</v>
      </c>
    </row>
    <row r="34" spans="1:6" ht="18" customHeight="1">
      <c r="A34" s="1023" t="s">
        <v>50</v>
      </c>
      <c r="B34" s="155" t="s">
        <v>483</v>
      </c>
      <c r="C34" s="512">
        <f>SUM(D34:F34)</f>
        <v>0</v>
      </c>
      <c r="D34" s="510">
        <v>0</v>
      </c>
      <c r="E34" s="510">
        <v>0</v>
      </c>
      <c r="F34" s="510">
        <v>0</v>
      </c>
    </row>
    <row r="35" spans="1:6" ht="18" customHeight="1">
      <c r="A35" s="1023"/>
      <c r="B35" s="154" t="s">
        <v>484</v>
      </c>
      <c r="C35" s="337">
        <f>SUM(D35:F35)</f>
        <v>63</v>
      </c>
      <c r="D35" s="337">
        <v>63</v>
      </c>
      <c r="E35" s="511">
        <v>0</v>
      </c>
      <c r="F35" s="511">
        <v>0</v>
      </c>
    </row>
    <row r="36" spans="1:6" ht="18" customHeight="1">
      <c r="A36" s="1023"/>
      <c r="B36" s="154" t="s">
        <v>485</v>
      </c>
      <c r="C36" s="337">
        <f>SUM(D36:F36)</f>
        <v>169</v>
      </c>
      <c r="D36" s="337">
        <v>166</v>
      </c>
      <c r="E36" s="337">
        <v>3</v>
      </c>
      <c r="F36" s="511">
        <v>0</v>
      </c>
    </row>
    <row r="37" spans="1:6" ht="18" customHeight="1">
      <c r="A37" s="1023"/>
      <c r="B37" s="154" t="s">
        <v>486</v>
      </c>
      <c r="C37" s="337">
        <f>SUM(D37:F37)</f>
        <v>461</v>
      </c>
      <c r="D37" s="339">
        <v>454</v>
      </c>
      <c r="E37" s="337">
        <v>4</v>
      </c>
      <c r="F37" s="337">
        <v>3</v>
      </c>
    </row>
    <row r="38" spans="1:6" ht="18" customHeight="1">
      <c r="A38" s="1023"/>
      <c r="B38" s="153" t="s">
        <v>487</v>
      </c>
      <c r="C38" s="341">
        <f>SUM(D38:F38)</f>
        <v>677</v>
      </c>
      <c r="D38" s="341">
        <v>659</v>
      </c>
      <c r="E38" s="340">
        <v>15</v>
      </c>
      <c r="F38" s="340">
        <v>3</v>
      </c>
    </row>
    <row r="39" spans="1:6" ht="18" customHeight="1">
      <c r="A39" s="1023"/>
      <c r="B39" s="152" t="s">
        <v>4</v>
      </c>
      <c r="C39" s="333">
        <f>SUM(C34:C38)</f>
        <v>1370</v>
      </c>
      <c r="D39" s="333">
        <f>SUM(D34:D38)</f>
        <v>1342</v>
      </c>
      <c r="E39" s="333">
        <f>SUM(E34:E38)</f>
        <v>22</v>
      </c>
      <c r="F39" s="333">
        <f>SUM(F34:F38)</f>
        <v>6</v>
      </c>
    </row>
    <row r="40" spans="1:6" ht="18" customHeight="1">
      <c r="A40" s="1023" t="s">
        <v>4</v>
      </c>
      <c r="B40" s="155" t="s">
        <v>488</v>
      </c>
      <c r="C40" s="336">
        <f>SUM(D40:F40)</f>
        <v>1</v>
      </c>
      <c r="D40" s="336">
        <f aca="true" t="shared" si="1" ref="D40:F45">D28+D34</f>
        <v>1</v>
      </c>
      <c r="E40" s="510">
        <f t="shared" si="1"/>
        <v>0</v>
      </c>
      <c r="F40" s="510">
        <f t="shared" si="1"/>
        <v>0</v>
      </c>
    </row>
    <row r="41" spans="1:6" ht="18" customHeight="1">
      <c r="A41" s="1023"/>
      <c r="B41" s="154" t="s">
        <v>489</v>
      </c>
      <c r="C41" s="337">
        <f>SUM(D41:F41)</f>
        <v>91</v>
      </c>
      <c r="D41" s="337">
        <f t="shared" si="1"/>
        <v>90</v>
      </c>
      <c r="E41" s="337">
        <f t="shared" si="1"/>
        <v>1</v>
      </c>
      <c r="F41" s="511">
        <f t="shared" si="1"/>
        <v>0</v>
      </c>
    </row>
    <row r="42" spans="1:6" ht="18" customHeight="1">
      <c r="A42" s="1023"/>
      <c r="B42" s="154" t="s">
        <v>490</v>
      </c>
      <c r="C42" s="337">
        <f>SUM(D42:F42)</f>
        <v>225</v>
      </c>
      <c r="D42" s="337">
        <f t="shared" si="1"/>
        <v>216</v>
      </c>
      <c r="E42" s="337">
        <f t="shared" si="1"/>
        <v>9</v>
      </c>
      <c r="F42" s="511">
        <f t="shared" si="1"/>
        <v>0</v>
      </c>
    </row>
    <row r="43" spans="1:6" ht="18" customHeight="1">
      <c r="A43" s="1023"/>
      <c r="B43" s="154" t="s">
        <v>491</v>
      </c>
      <c r="C43" s="337">
        <f>SUM(D43:F43)</f>
        <v>554</v>
      </c>
      <c r="D43" s="337">
        <f t="shared" si="1"/>
        <v>536</v>
      </c>
      <c r="E43" s="337">
        <f t="shared" si="1"/>
        <v>10</v>
      </c>
      <c r="F43" s="337">
        <f t="shared" si="1"/>
        <v>8</v>
      </c>
    </row>
    <row r="44" spans="1:6" ht="18" customHeight="1">
      <c r="A44" s="1023"/>
      <c r="B44" s="153" t="s">
        <v>492</v>
      </c>
      <c r="C44" s="340">
        <f>SUM(D44:F44)</f>
        <v>773</v>
      </c>
      <c r="D44" s="340">
        <f t="shared" si="1"/>
        <v>735</v>
      </c>
      <c r="E44" s="340">
        <f t="shared" si="1"/>
        <v>29</v>
      </c>
      <c r="F44" s="340">
        <f t="shared" si="1"/>
        <v>9</v>
      </c>
    </row>
    <row r="45" spans="1:6" ht="18" customHeight="1">
      <c r="A45" s="1023"/>
      <c r="B45" s="152" t="s">
        <v>4</v>
      </c>
      <c r="C45" s="333">
        <f>C33+C39</f>
        <v>1644</v>
      </c>
      <c r="D45" s="333">
        <f t="shared" si="1"/>
        <v>1578</v>
      </c>
      <c r="E45" s="333">
        <f t="shared" si="1"/>
        <v>49</v>
      </c>
      <c r="F45" s="333">
        <f t="shared" si="1"/>
        <v>17</v>
      </c>
    </row>
    <row r="46" ht="16.5" customHeight="1"/>
  </sheetData>
  <sheetProtection/>
  <mergeCells count="12">
    <mergeCell ref="C2:C4"/>
    <mergeCell ref="A5:A10"/>
    <mergeCell ref="A11:A16"/>
    <mergeCell ref="A17:A22"/>
    <mergeCell ref="A2:A4"/>
    <mergeCell ref="B2:B4"/>
    <mergeCell ref="A34:A39"/>
    <mergeCell ref="A40:A45"/>
    <mergeCell ref="A25:A27"/>
    <mergeCell ref="B25:B27"/>
    <mergeCell ref="C25:C27"/>
    <mergeCell ref="A28:A33"/>
  </mergeCells>
  <printOptions/>
  <pageMargins left="0.7086614173228347" right="0.7086614173228347" top="0.7480314960629921" bottom="0.7480314960629921" header="0.31496062992125984" footer="0.31496062992125984"/>
  <pageSetup firstPageNumber="91" useFirstPageNumber="1" horizontalDpi="600" verticalDpi="600" orientation="portrait" paperSize="9" scale="96" r:id="rId1"/>
  <headerFoot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SheetLayoutView="100" zoomScalePageLayoutView="0" workbookViewId="0" topLeftCell="A1">
      <selection activeCell="F9" sqref="F9:G9"/>
    </sheetView>
  </sheetViews>
  <sheetFormatPr defaultColWidth="9.00390625" defaultRowHeight="13.5"/>
  <cols>
    <col min="1" max="1" width="5.00390625" style="83" customWidth="1"/>
    <col min="2" max="2" width="10.125" style="161" customWidth="1"/>
    <col min="3" max="3" width="10.00390625" style="83" customWidth="1"/>
    <col min="4" max="6" width="9.375" style="83" customWidth="1"/>
    <col min="7" max="7" width="12.00390625" style="83" customWidth="1"/>
    <col min="8" max="8" width="9.375" style="83" customWidth="1"/>
    <col min="9" max="9" width="7.75390625" style="83" bestFit="1" customWidth="1"/>
    <col min="10" max="16384" width="9.00390625" style="83" customWidth="1"/>
  </cols>
  <sheetData>
    <row r="1" ht="14.25">
      <c r="A1" s="84" t="s">
        <v>348</v>
      </c>
    </row>
    <row r="2" spans="1:9" ht="18" customHeight="1">
      <c r="A2" s="1023" t="s">
        <v>166</v>
      </c>
      <c r="B2" s="1024" t="s">
        <v>195</v>
      </c>
      <c r="C2" s="1023" t="s">
        <v>196</v>
      </c>
      <c r="D2" s="1034" t="s">
        <v>69</v>
      </c>
      <c r="E2" s="1035"/>
      <c r="F2" s="1034" t="s">
        <v>199</v>
      </c>
      <c r="G2" s="1035"/>
      <c r="H2" s="1034" t="s">
        <v>551</v>
      </c>
      <c r="I2" s="1035"/>
    </row>
    <row r="3" spans="1:9" ht="63" customHeight="1">
      <c r="A3" s="1023"/>
      <c r="B3" s="1024"/>
      <c r="C3" s="1023"/>
      <c r="D3" s="1036" t="s">
        <v>200</v>
      </c>
      <c r="E3" s="1037"/>
      <c r="F3" s="1038" t="s">
        <v>201</v>
      </c>
      <c r="G3" s="1039"/>
      <c r="H3" s="1038" t="s">
        <v>202</v>
      </c>
      <c r="I3" s="1039"/>
    </row>
    <row r="4" spans="1:9" ht="18" customHeight="1">
      <c r="A4" s="1023"/>
      <c r="B4" s="1024"/>
      <c r="C4" s="1023"/>
      <c r="D4" s="1036" t="s">
        <v>552</v>
      </c>
      <c r="E4" s="1037"/>
      <c r="F4" s="1038" t="s">
        <v>552</v>
      </c>
      <c r="G4" s="1039"/>
      <c r="H4" s="1038" t="s">
        <v>552</v>
      </c>
      <c r="I4" s="1039"/>
    </row>
    <row r="5" spans="1:9" ht="18" customHeight="1">
      <c r="A5" s="1023"/>
      <c r="B5" s="1024"/>
      <c r="C5" s="1023"/>
      <c r="D5" s="1040" t="s">
        <v>334</v>
      </c>
      <c r="E5" s="1041"/>
      <c r="F5" s="1042" t="s">
        <v>335</v>
      </c>
      <c r="G5" s="1043"/>
      <c r="H5" s="1042" t="s">
        <v>336</v>
      </c>
      <c r="I5" s="1043"/>
    </row>
    <row r="6" spans="1:9" ht="18" customHeight="1">
      <c r="A6" s="1023"/>
      <c r="B6" s="1024"/>
      <c r="C6" s="1023"/>
      <c r="D6" s="1017" t="s">
        <v>197</v>
      </c>
      <c r="E6" s="1019"/>
      <c r="F6" s="1017" t="s">
        <v>197</v>
      </c>
      <c r="G6" s="1019"/>
      <c r="H6" s="1017" t="s">
        <v>197</v>
      </c>
      <c r="I6" s="1019"/>
    </row>
    <row r="7" spans="1:9" ht="18" customHeight="1">
      <c r="A7" s="1023" t="s">
        <v>49</v>
      </c>
      <c r="B7" s="130" t="s">
        <v>553</v>
      </c>
      <c r="C7" s="336">
        <f>SUM(D7:I7)</f>
        <v>1</v>
      </c>
      <c r="D7" s="1044">
        <v>1</v>
      </c>
      <c r="E7" s="1045"/>
      <c r="F7" s="1046">
        <v>0</v>
      </c>
      <c r="G7" s="1047"/>
      <c r="H7" s="1046">
        <v>0</v>
      </c>
      <c r="I7" s="1047"/>
    </row>
    <row r="8" spans="1:9" s="132" customFormat="1" ht="18" customHeight="1">
      <c r="A8" s="1023"/>
      <c r="B8" s="131" t="s">
        <v>554</v>
      </c>
      <c r="C8" s="339">
        <f>SUM(D8:I8)</f>
        <v>28</v>
      </c>
      <c r="D8" s="1026">
        <v>25</v>
      </c>
      <c r="E8" s="1027"/>
      <c r="F8" s="1026">
        <v>3</v>
      </c>
      <c r="G8" s="1027"/>
      <c r="H8" s="1048">
        <v>0</v>
      </c>
      <c r="I8" s="1049"/>
    </row>
    <row r="9" spans="1:9" ht="18" customHeight="1">
      <c r="A9" s="1023"/>
      <c r="B9" s="131" t="s">
        <v>555</v>
      </c>
      <c r="C9" s="339">
        <f>SUM(D9:I9)</f>
        <v>56</v>
      </c>
      <c r="D9" s="1026">
        <v>52</v>
      </c>
      <c r="E9" s="1027"/>
      <c r="F9" s="1026">
        <v>3</v>
      </c>
      <c r="G9" s="1027"/>
      <c r="H9" s="1026">
        <v>1</v>
      </c>
      <c r="I9" s="1027"/>
    </row>
    <row r="10" spans="1:9" ht="18" customHeight="1">
      <c r="A10" s="1023"/>
      <c r="B10" s="131" t="s">
        <v>556</v>
      </c>
      <c r="C10" s="337">
        <f>SUM(D10:I10)</f>
        <v>93</v>
      </c>
      <c r="D10" s="1026">
        <v>70</v>
      </c>
      <c r="E10" s="1027"/>
      <c r="F10" s="1026">
        <v>21</v>
      </c>
      <c r="G10" s="1027"/>
      <c r="H10" s="1026">
        <v>2</v>
      </c>
      <c r="I10" s="1027"/>
    </row>
    <row r="11" spans="1:9" ht="18" customHeight="1">
      <c r="A11" s="1023"/>
      <c r="B11" s="133" t="s">
        <v>557</v>
      </c>
      <c r="C11" s="341">
        <f>SUM(D11:I11)</f>
        <v>96</v>
      </c>
      <c r="D11" s="1050">
        <v>71</v>
      </c>
      <c r="E11" s="1051"/>
      <c r="F11" s="1028">
        <v>25</v>
      </c>
      <c r="G11" s="1029"/>
      <c r="H11" s="1030">
        <v>0</v>
      </c>
      <c r="I11" s="1031"/>
    </row>
    <row r="12" spans="1:9" ht="18" customHeight="1">
      <c r="A12" s="1023"/>
      <c r="B12" s="129" t="s">
        <v>4</v>
      </c>
      <c r="C12" s="333">
        <f>SUM(C7:C11)</f>
        <v>274</v>
      </c>
      <c r="D12" s="1032">
        <f>SUM(D7:E11)</f>
        <v>219</v>
      </c>
      <c r="E12" s="1033"/>
      <c r="F12" s="1032">
        <f>SUM(F7:G11)</f>
        <v>52</v>
      </c>
      <c r="G12" s="1033"/>
      <c r="H12" s="1032">
        <f>SUM(H7:I11)</f>
        <v>3</v>
      </c>
      <c r="I12" s="1033"/>
    </row>
    <row r="13" spans="1:9" ht="18" customHeight="1">
      <c r="A13" s="1023" t="s">
        <v>50</v>
      </c>
      <c r="B13" s="130" t="s">
        <v>553</v>
      </c>
      <c r="C13" s="512">
        <f>SUM(D13:I13)</f>
        <v>0</v>
      </c>
      <c r="D13" s="1046">
        <v>0</v>
      </c>
      <c r="E13" s="1047"/>
      <c r="F13" s="1046">
        <v>0</v>
      </c>
      <c r="G13" s="1047"/>
      <c r="H13" s="1046">
        <v>0</v>
      </c>
      <c r="I13" s="1047"/>
    </row>
    <row r="14" spans="1:9" ht="18" customHeight="1">
      <c r="A14" s="1023"/>
      <c r="B14" s="131" t="s">
        <v>554</v>
      </c>
      <c r="C14" s="337">
        <f>SUM(D14:I14)</f>
        <v>63</v>
      </c>
      <c r="D14" s="1026">
        <v>53</v>
      </c>
      <c r="E14" s="1027"/>
      <c r="F14" s="1026">
        <v>10</v>
      </c>
      <c r="G14" s="1027"/>
      <c r="H14" s="1048">
        <v>0</v>
      </c>
      <c r="I14" s="1049"/>
    </row>
    <row r="15" spans="1:9" ht="18" customHeight="1">
      <c r="A15" s="1023"/>
      <c r="B15" s="131" t="s">
        <v>555</v>
      </c>
      <c r="C15" s="337">
        <f>SUM(D15:I15)</f>
        <v>169</v>
      </c>
      <c r="D15" s="1026">
        <v>148</v>
      </c>
      <c r="E15" s="1027"/>
      <c r="F15" s="1026">
        <v>21</v>
      </c>
      <c r="G15" s="1027"/>
      <c r="H15" s="1048">
        <v>0</v>
      </c>
      <c r="I15" s="1049"/>
    </row>
    <row r="16" spans="1:9" ht="18" customHeight="1">
      <c r="A16" s="1023"/>
      <c r="B16" s="131" t="s">
        <v>556</v>
      </c>
      <c r="C16" s="337">
        <f>SUM(D16:I16)</f>
        <v>461</v>
      </c>
      <c r="D16" s="1026">
        <v>389</v>
      </c>
      <c r="E16" s="1027"/>
      <c r="F16" s="1026">
        <v>72</v>
      </c>
      <c r="G16" s="1027"/>
      <c r="H16" s="1048">
        <v>0</v>
      </c>
      <c r="I16" s="1049"/>
    </row>
    <row r="17" spans="1:9" ht="18" customHeight="1">
      <c r="A17" s="1023"/>
      <c r="B17" s="133" t="s">
        <v>557</v>
      </c>
      <c r="C17" s="341">
        <f>SUM(D17:I17)</f>
        <v>677</v>
      </c>
      <c r="D17" s="1050">
        <v>500</v>
      </c>
      <c r="E17" s="1051"/>
      <c r="F17" s="1028">
        <v>177</v>
      </c>
      <c r="G17" s="1029"/>
      <c r="H17" s="1030">
        <v>0</v>
      </c>
      <c r="I17" s="1031"/>
    </row>
    <row r="18" spans="1:9" ht="18" customHeight="1">
      <c r="A18" s="1023"/>
      <c r="B18" s="129" t="s">
        <v>4</v>
      </c>
      <c r="C18" s="333">
        <f>SUM(C13:C17)</f>
        <v>1370</v>
      </c>
      <c r="D18" s="1032">
        <f>SUM(D13:E17)</f>
        <v>1090</v>
      </c>
      <c r="E18" s="1033"/>
      <c r="F18" s="1032">
        <f>SUM(F13:G17)</f>
        <v>280</v>
      </c>
      <c r="G18" s="1033"/>
      <c r="H18" s="1052">
        <f>SUM(H13:I17)</f>
        <v>0</v>
      </c>
      <c r="I18" s="1053"/>
    </row>
    <row r="19" spans="1:9" ht="18" customHeight="1">
      <c r="A19" s="1023" t="s">
        <v>4</v>
      </c>
      <c r="B19" s="130" t="s">
        <v>558</v>
      </c>
      <c r="C19" s="342">
        <f>SUM(D19:I19)</f>
        <v>1</v>
      </c>
      <c r="D19" s="1044">
        <f aca="true" t="shared" si="0" ref="D19:D24">D7+D13</f>
        <v>1</v>
      </c>
      <c r="E19" s="1045"/>
      <c r="F19" s="1046">
        <f aca="true" t="shared" si="1" ref="F19:F24">F7+F13</f>
        <v>0</v>
      </c>
      <c r="G19" s="1047"/>
      <c r="H19" s="1046">
        <f aca="true" t="shared" si="2" ref="H19:H24">H7+H13</f>
        <v>0</v>
      </c>
      <c r="I19" s="1047"/>
    </row>
    <row r="20" spans="1:9" ht="18" customHeight="1">
      <c r="A20" s="1023"/>
      <c r="B20" s="131" t="s">
        <v>559</v>
      </c>
      <c r="C20" s="343">
        <f>SUM(D20:I20)</f>
        <v>91</v>
      </c>
      <c r="D20" s="1026">
        <f t="shared" si="0"/>
        <v>78</v>
      </c>
      <c r="E20" s="1027"/>
      <c r="F20" s="1026">
        <f t="shared" si="1"/>
        <v>13</v>
      </c>
      <c r="G20" s="1027"/>
      <c r="H20" s="1048">
        <f t="shared" si="2"/>
        <v>0</v>
      </c>
      <c r="I20" s="1049"/>
    </row>
    <row r="21" spans="1:9" ht="18" customHeight="1">
      <c r="A21" s="1023"/>
      <c r="B21" s="131" t="s">
        <v>560</v>
      </c>
      <c r="C21" s="343">
        <f>SUM(D21:I21)</f>
        <v>225</v>
      </c>
      <c r="D21" s="1026">
        <f t="shared" si="0"/>
        <v>200</v>
      </c>
      <c r="E21" s="1027"/>
      <c r="F21" s="1026">
        <f t="shared" si="1"/>
        <v>24</v>
      </c>
      <c r="G21" s="1027"/>
      <c r="H21" s="1026">
        <f t="shared" si="2"/>
        <v>1</v>
      </c>
      <c r="I21" s="1027"/>
    </row>
    <row r="22" spans="1:9" ht="18" customHeight="1">
      <c r="A22" s="1023"/>
      <c r="B22" s="131" t="s">
        <v>561</v>
      </c>
      <c r="C22" s="343">
        <f>SUM(D22:I22)</f>
        <v>554</v>
      </c>
      <c r="D22" s="1026">
        <f t="shared" si="0"/>
        <v>459</v>
      </c>
      <c r="E22" s="1027"/>
      <c r="F22" s="1026">
        <f t="shared" si="1"/>
        <v>93</v>
      </c>
      <c r="G22" s="1027"/>
      <c r="H22" s="1026">
        <f t="shared" si="2"/>
        <v>2</v>
      </c>
      <c r="I22" s="1027"/>
    </row>
    <row r="23" spans="1:9" ht="18" customHeight="1">
      <c r="A23" s="1023"/>
      <c r="B23" s="133" t="s">
        <v>562</v>
      </c>
      <c r="C23" s="345">
        <f>SUM(D23:I23)</f>
        <v>773</v>
      </c>
      <c r="D23" s="1028">
        <f t="shared" si="0"/>
        <v>571</v>
      </c>
      <c r="E23" s="1029"/>
      <c r="F23" s="1028">
        <f t="shared" si="1"/>
        <v>202</v>
      </c>
      <c r="G23" s="1029"/>
      <c r="H23" s="1030">
        <f t="shared" si="2"/>
        <v>0</v>
      </c>
      <c r="I23" s="1031"/>
    </row>
    <row r="24" spans="1:9" ht="18" customHeight="1">
      <c r="A24" s="1023"/>
      <c r="B24" s="129" t="s">
        <v>4</v>
      </c>
      <c r="C24" s="344">
        <f>SUM(C19:C23)</f>
        <v>1644</v>
      </c>
      <c r="D24" s="1032">
        <f t="shared" si="0"/>
        <v>1309</v>
      </c>
      <c r="E24" s="1033"/>
      <c r="F24" s="1032">
        <f t="shared" si="1"/>
        <v>332</v>
      </c>
      <c r="G24" s="1033"/>
      <c r="H24" s="1032">
        <f t="shared" si="2"/>
        <v>3</v>
      </c>
      <c r="I24" s="1033"/>
    </row>
    <row r="25" spans="1:9" ht="18" customHeight="1">
      <c r="A25" s="164"/>
      <c r="B25" s="164"/>
      <c r="C25" s="163"/>
      <c r="D25" s="162"/>
      <c r="E25" s="162"/>
      <c r="F25" s="162"/>
      <c r="G25" s="162"/>
      <c r="H25" s="162"/>
      <c r="I25" s="162"/>
    </row>
    <row r="26" ht="18" customHeight="1">
      <c r="A26" s="84" t="s">
        <v>349</v>
      </c>
    </row>
    <row r="27" spans="1:9" ht="18" customHeight="1">
      <c r="A27" s="1023" t="s">
        <v>166</v>
      </c>
      <c r="B27" s="1024" t="s">
        <v>195</v>
      </c>
      <c r="C27" s="1023" t="s">
        <v>196</v>
      </c>
      <c r="D27" s="1017" t="s">
        <v>203</v>
      </c>
      <c r="E27" s="1018"/>
      <c r="F27" s="1019"/>
      <c r="G27" s="1017" t="s">
        <v>167</v>
      </c>
      <c r="H27" s="1018"/>
      <c r="I27" s="1019"/>
    </row>
    <row r="28" spans="1:9" ht="18" customHeight="1">
      <c r="A28" s="1023"/>
      <c r="B28" s="1024"/>
      <c r="C28" s="1023"/>
      <c r="D28" s="133" t="s">
        <v>563</v>
      </c>
      <c r="E28" s="133" t="s">
        <v>204</v>
      </c>
      <c r="F28" s="133" t="s">
        <v>68</v>
      </c>
      <c r="G28" s="133" t="s">
        <v>563</v>
      </c>
      <c r="H28" s="133" t="s">
        <v>204</v>
      </c>
      <c r="I28" s="133" t="s">
        <v>68</v>
      </c>
    </row>
    <row r="29" spans="1:9" ht="18" customHeight="1">
      <c r="A29" s="1023"/>
      <c r="B29" s="1024"/>
      <c r="C29" s="1023"/>
      <c r="D29" s="129" t="s">
        <v>197</v>
      </c>
      <c r="E29" s="129" t="s">
        <v>197</v>
      </c>
      <c r="F29" s="129" t="s">
        <v>197</v>
      </c>
      <c r="G29" s="129" t="s">
        <v>197</v>
      </c>
      <c r="H29" s="129" t="s">
        <v>197</v>
      </c>
      <c r="I29" s="129" t="s">
        <v>197</v>
      </c>
    </row>
    <row r="30" spans="1:9" ht="18" customHeight="1">
      <c r="A30" s="1023" t="s">
        <v>49</v>
      </c>
      <c r="B30" s="130" t="s">
        <v>553</v>
      </c>
      <c r="C30" s="336">
        <f>SUM(D30:F30)</f>
        <v>1</v>
      </c>
      <c r="D30" s="342">
        <v>1</v>
      </c>
      <c r="E30" s="513">
        <v>0</v>
      </c>
      <c r="F30" s="513">
        <v>0</v>
      </c>
      <c r="G30" s="342">
        <v>1</v>
      </c>
      <c r="H30" s="513">
        <v>0</v>
      </c>
      <c r="I30" s="513">
        <v>0</v>
      </c>
    </row>
    <row r="31" spans="1:9" s="132" customFormat="1" ht="18" customHeight="1">
      <c r="A31" s="1023"/>
      <c r="B31" s="131" t="s">
        <v>554</v>
      </c>
      <c r="C31" s="339">
        <f aca="true" t="shared" si="3" ref="C31:C40">SUM(D31:F31)</f>
        <v>28</v>
      </c>
      <c r="D31" s="343">
        <v>28</v>
      </c>
      <c r="E31" s="514">
        <v>0</v>
      </c>
      <c r="F31" s="514">
        <v>0</v>
      </c>
      <c r="G31" s="343">
        <v>28</v>
      </c>
      <c r="H31" s="514">
        <v>0</v>
      </c>
      <c r="I31" s="514">
        <v>0</v>
      </c>
    </row>
    <row r="32" spans="1:9" ht="18" customHeight="1">
      <c r="A32" s="1023"/>
      <c r="B32" s="131" t="s">
        <v>555</v>
      </c>
      <c r="C32" s="339">
        <f t="shared" si="3"/>
        <v>56</v>
      </c>
      <c r="D32" s="343">
        <v>55</v>
      </c>
      <c r="E32" s="343">
        <v>1</v>
      </c>
      <c r="F32" s="514">
        <v>0</v>
      </c>
      <c r="G32" s="343">
        <v>56</v>
      </c>
      <c r="H32" s="514">
        <v>0</v>
      </c>
      <c r="I32" s="514">
        <v>0</v>
      </c>
    </row>
    <row r="33" spans="1:9" ht="18" customHeight="1">
      <c r="A33" s="1023"/>
      <c r="B33" s="131" t="s">
        <v>556</v>
      </c>
      <c r="C33" s="337">
        <f t="shared" si="3"/>
        <v>93</v>
      </c>
      <c r="D33" s="496">
        <v>91</v>
      </c>
      <c r="E33" s="343">
        <v>2</v>
      </c>
      <c r="F33" s="514">
        <v>0</v>
      </c>
      <c r="G33" s="496">
        <v>93</v>
      </c>
      <c r="H33" s="514">
        <v>0</v>
      </c>
      <c r="I33" s="514">
        <v>0</v>
      </c>
    </row>
    <row r="34" spans="1:9" ht="18" customHeight="1">
      <c r="A34" s="1023"/>
      <c r="B34" s="133" t="s">
        <v>557</v>
      </c>
      <c r="C34" s="341">
        <f t="shared" si="3"/>
        <v>96</v>
      </c>
      <c r="D34" s="497">
        <v>96</v>
      </c>
      <c r="E34" s="515">
        <v>0</v>
      </c>
      <c r="F34" s="516">
        <v>0</v>
      </c>
      <c r="G34" s="497">
        <v>96</v>
      </c>
      <c r="H34" s="515">
        <v>0</v>
      </c>
      <c r="I34" s="516">
        <v>0</v>
      </c>
    </row>
    <row r="35" spans="1:9" ht="18" customHeight="1">
      <c r="A35" s="1023"/>
      <c r="B35" s="129" t="s">
        <v>4</v>
      </c>
      <c r="C35" s="333">
        <f>SUM(C30:C34)</f>
        <v>274</v>
      </c>
      <c r="D35" s="346">
        <f aca="true" t="shared" si="4" ref="D35:I35">SUM(D30:D34)</f>
        <v>271</v>
      </c>
      <c r="E35" s="346">
        <f t="shared" si="4"/>
        <v>3</v>
      </c>
      <c r="F35" s="517">
        <f t="shared" si="4"/>
        <v>0</v>
      </c>
      <c r="G35" s="346">
        <f t="shared" si="4"/>
        <v>274</v>
      </c>
      <c r="H35" s="517">
        <f t="shared" si="4"/>
        <v>0</v>
      </c>
      <c r="I35" s="517">
        <f t="shared" si="4"/>
        <v>0</v>
      </c>
    </row>
    <row r="36" spans="1:9" ht="18" customHeight="1">
      <c r="A36" s="1023" t="s">
        <v>50</v>
      </c>
      <c r="B36" s="130" t="s">
        <v>553</v>
      </c>
      <c r="C36" s="512">
        <f t="shared" si="3"/>
        <v>0</v>
      </c>
      <c r="D36" s="513">
        <v>0</v>
      </c>
      <c r="E36" s="513">
        <v>0</v>
      </c>
      <c r="F36" s="513">
        <v>0</v>
      </c>
      <c r="G36" s="513">
        <v>0</v>
      </c>
      <c r="H36" s="513">
        <v>0</v>
      </c>
      <c r="I36" s="513">
        <v>0</v>
      </c>
    </row>
    <row r="37" spans="1:9" ht="18" customHeight="1">
      <c r="A37" s="1023"/>
      <c r="B37" s="131" t="s">
        <v>554</v>
      </c>
      <c r="C37" s="337">
        <f t="shared" si="3"/>
        <v>63</v>
      </c>
      <c r="D37" s="343">
        <v>61</v>
      </c>
      <c r="E37" s="343">
        <v>2</v>
      </c>
      <c r="F37" s="514">
        <v>0</v>
      </c>
      <c r="G37" s="343">
        <v>63</v>
      </c>
      <c r="H37" s="514">
        <v>0</v>
      </c>
      <c r="I37" s="514">
        <v>0</v>
      </c>
    </row>
    <row r="38" spans="1:9" ht="18" customHeight="1">
      <c r="A38" s="1023"/>
      <c r="B38" s="131" t="s">
        <v>555</v>
      </c>
      <c r="C38" s="337">
        <f t="shared" si="3"/>
        <v>169</v>
      </c>
      <c r="D38" s="343">
        <v>165</v>
      </c>
      <c r="E38" s="343">
        <v>4</v>
      </c>
      <c r="F38" s="514">
        <v>0</v>
      </c>
      <c r="G38" s="343">
        <v>168</v>
      </c>
      <c r="H38" s="343">
        <v>1</v>
      </c>
      <c r="I38" s="514">
        <v>0</v>
      </c>
    </row>
    <row r="39" spans="1:9" ht="18" customHeight="1">
      <c r="A39" s="1023"/>
      <c r="B39" s="131" t="s">
        <v>556</v>
      </c>
      <c r="C39" s="337">
        <f t="shared" si="3"/>
        <v>461</v>
      </c>
      <c r="D39" s="343">
        <v>452</v>
      </c>
      <c r="E39" s="343">
        <v>8</v>
      </c>
      <c r="F39" s="343">
        <v>1</v>
      </c>
      <c r="G39" s="343">
        <v>460</v>
      </c>
      <c r="H39" s="514">
        <v>0</v>
      </c>
      <c r="I39" s="343">
        <v>1</v>
      </c>
    </row>
    <row r="40" spans="1:9" ht="18" customHeight="1">
      <c r="A40" s="1023"/>
      <c r="B40" s="133" t="s">
        <v>557</v>
      </c>
      <c r="C40" s="341">
        <f t="shared" si="3"/>
        <v>677</v>
      </c>
      <c r="D40" s="345">
        <v>670</v>
      </c>
      <c r="E40" s="345">
        <v>7</v>
      </c>
      <c r="F40" s="516">
        <v>0</v>
      </c>
      <c r="G40" s="345">
        <v>677</v>
      </c>
      <c r="H40" s="516">
        <v>0</v>
      </c>
      <c r="I40" s="516">
        <v>0</v>
      </c>
    </row>
    <row r="41" spans="1:9" ht="18" customHeight="1">
      <c r="A41" s="1023"/>
      <c r="B41" s="129" t="s">
        <v>4</v>
      </c>
      <c r="C41" s="333">
        <f>SUM(C36:C40)</f>
        <v>1370</v>
      </c>
      <c r="D41" s="346">
        <f aca="true" t="shared" si="5" ref="D41:I41">SUM(D36:D40)</f>
        <v>1348</v>
      </c>
      <c r="E41" s="346">
        <f t="shared" si="5"/>
        <v>21</v>
      </c>
      <c r="F41" s="346">
        <f t="shared" si="5"/>
        <v>1</v>
      </c>
      <c r="G41" s="346">
        <f t="shared" si="5"/>
        <v>1368</v>
      </c>
      <c r="H41" s="346">
        <f t="shared" si="5"/>
        <v>1</v>
      </c>
      <c r="I41" s="346">
        <f t="shared" si="5"/>
        <v>1</v>
      </c>
    </row>
    <row r="42" spans="1:9" ht="18" customHeight="1">
      <c r="A42" s="1023" t="s">
        <v>4</v>
      </c>
      <c r="B42" s="130" t="s">
        <v>558</v>
      </c>
      <c r="C42" s="342">
        <f>SUM(D42:F42)</f>
        <v>1</v>
      </c>
      <c r="D42" s="342">
        <f aca="true" t="shared" si="6" ref="D42:I47">D30+D36</f>
        <v>1</v>
      </c>
      <c r="E42" s="513">
        <f t="shared" si="6"/>
        <v>0</v>
      </c>
      <c r="F42" s="513">
        <f t="shared" si="6"/>
        <v>0</v>
      </c>
      <c r="G42" s="342">
        <f t="shared" si="6"/>
        <v>1</v>
      </c>
      <c r="H42" s="513">
        <f t="shared" si="6"/>
        <v>0</v>
      </c>
      <c r="I42" s="513">
        <f t="shared" si="6"/>
        <v>0</v>
      </c>
    </row>
    <row r="43" spans="1:9" ht="18" customHeight="1">
      <c r="A43" s="1023"/>
      <c r="B43" s="131" t="s">
        <v>559</v>
      </c>
      <c r="C43" s="343">
        <f>SUM(D43:F43)</f>
        <v>91</v>
      </c>
      <c r="D43" s="343">
        <f t="shared" si="6"/>
        <v>89</v>
      </c>
      <c r="E43" s="343">
        <f t="shared" si="6"/>
        <v>2</v>
      </c>
      <c r="F43" s="514">
        <f t="shared" si="6"/>
        <v>0</v>
      </c>
      <c r="G43" s="343">
        <f t="shared" si="6"/>
        <v>91</v>
      </c>
      <c r="H43" s="514">
        <f t="shared" si="6"/>
        <v>0</v>
      </c>
      <c r="I43" s="514">
        <f t="shared" si="6"/>
        <v>0</v>
      </c>
    </row>
    <row r="44" spans="1:9" ht="18" customHeight="1">
      <c r="A44" s="1023"/>
      <c r="B44" s="131" t="s">
        <v>560</v>
      </c>
      <c r="C44" s="343">
        <f>SUM(D44:F44)</f>
        <v>225</v>
      </c>
      <c r="D44" s="343">
        <f t="shared" si="6"/>
        <v>220</v>
      </c>
      <c r="E44" s="343">
        <f t="shared" si="6"/>
        <v>5</v>
      </c>
      <c r="F44" s="514">
        <f t="shared" si="6"/>
        <v>0</v>
      </c>
      <c r="G44" s="343">
        <f t="shared" si="6"/>
        <v>224</v>
      </c>
      <c r="H44" s="343">
        <f t="shared" si="6"/>
        <v>1</v>
      </c>
      <c r="I44" s="514">
        <f t="shared" si="6"/>
        <v>0</v>
      </c>
    </row>
    <row r="45" spans="1:9" ht="18" customHeight="1">
      <c r="A45" s="1023"/>
      <c r="B45" s="131" t="s">
        <v>561</v>
      </c>
      <c r="C45" s="343">
        <f>SUM(D45:F45)</f>
        <v>554</v>
      </c>
      <c r="D45" s="343">
        <f t="shared" si="6"/>
        <v>543</v>
      </c>
      <c r="E45" s="343">
        <f t="shared" si="6"/>
        <v>10</v>
      </c>
      <c r="F45" s="343">
        <f t="shared" si="6"/>
        <v>1</v>
      </c>
      <c r="G45" s="343">
        <f t="shared" si="6"/>
        <v>553</v>
      </c>
      <c r="H45" s="514">
        <f t="shared" si="6"/>
        <v>0</v>
      </c>
      <c r="I45" s="343">
        <f t="shared" si="6"/>
        <v>1</v>
      </c>
    </row>
    <row r="46" spans="1:9" ht="18" customHeight="1">
      <c r="A46" s="1023"/>
      <c r="B46" s="133" t="s">
        <v>562</v>
      </c>
      <c r="C46" s="345">
        <f>SUM(D46:F46)</f>
        <v>773</v>
      </c>
      <c r="D46" s="345">
        <f t="shared" si="6"/>
        <v>766</v>
      </c>
      <c r="E46" s="345">
        <f t="shared" si="6"/>
        <v>7</v>
      </c>
      <c r="F46" s="516">
        <f t="shared" si="6"/>
        <v>0</v>
      </c>
      <c r="G46" s="345">
        <f t="shared" si="6"/>
        <v>773</v>
      </c>
      <c r="H46" s="516">
        <f t="shared" si="6"/>
        <v>0</v>
      </c>
      <c r="I46" s="516">
        <f t="shared" si="6"/>
        <v>0</v>
      </c>
    </row>
    <row r="47" spans="1:9" ht="18" customHeight="1">
      <c r="A47" s="1023"/>
      <c r="B47" s="129" t="s">
        <v>4</v>
      </c>
      <c r="C47" s="344">
        <f>SUM(C42:C46)</f>
        <v>1644</v>
      </c>
      <c r="D47" s="344">
        <f t="shared" si="6"/>
        <v>1619</v>
      </c>
      <c r="E47" s="344">
        <f t="shared" si="6"/>
        <v>24</v>
      </c>
      <c r="F47" s="344">
        <f t="shared" si="6"/>
        <v>1</v>
      </c>
      <c r="G47" s="344">
        <f t="shared" si="6"/>
        <v>1642</v>
      </c>
      <c r="H47" s="344">
        <f t="shared" si="6"/>
        <v>1</v>
      </c>
      <c r="I47" s="344">
        <f t="shared" si="6"/>
        <v>1</v>
      </c>
    </row>
    <row r="84" ht="15" customHeight="1"/>
    <row r="85" ht="15" customHeight="1"/>
    <row r="86" ht="15" customHeight="1"/>
    <row r="87" ht="15" customHeight="1"/>
    <row r="88" ht="15" customHeight="1"/>
    <row r="89" ht="15" customHeight="1"/>
  </sheetData>
  <sheetProtection/>
  <mergeCells count="83">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H6:I6"/>
    <mergeCell ref="D7:E7"/>
    <mergeCell ref="F7:G7"/>
    <mergeCell ref="H7:I7"/>
    <mergeCell ref="D8:E8"/>
    <mergeCell ref="F8:G8"/>
    <mergeCell ref="H8:I8"/>
    <mergeCell ref="H19:I19"/>
    <mergeCell ref="D20:E20"/>
    <mergeCell ref="F20:G20"/>
    <mergeCell ref="H20:I20"/>
    <mergeCell ref="F22:G22"/>
    <mergeCell ref="D3:E3"/>
    <mergeCell ref="F3:G3"/>
    <mergeCell ref="H3:I3"/>
    <mergeCell ref="D6:E6"/>
    <mergeCell ref="F6:G6"/>
    <mergeCell ref="F4:G4"/>
    <mergeCell ref="H4:I4"/>
    <mergeCell ref="D5:E5"/>
    <mergeCell ref="F5:G5"/>
    <mergeCell ref="H5:I5"/>
    <mergeCell ref="D21:E21"/>
    <mergeCell ref="F21:G21"/>
    <mergeCell ref="H21:I21"/>
    <mergeCell ref="D19:E19"/>
    <mergeCell ref="F19:G19"/>
    <mergeCell ref="H24:I24"/>
    <mergeCell ref="D22:E22"/>
    <mergeCell ref="F2:G2"/>
    <mergeCell ref="H2:I2"/>
    <mergeCell ref="A2:A6"/>
    <mergeCell ref="B2:B6"/>
    <mergeCell ref="C2:C6"/>
    <mergeCell ref="D2:E2"/>
    <mergeCell ref="D4:E4"/>
    <mergeCell ref="A7:A12"/>
    <mergeCell ref="G27:I27"/>
    <mergeCell ref="D27:F27"/>
    <mergeCell ref="A30:A35"/>
    <mergeCell ref="A36:A41"/>
    <mergeCell ref="H22:I22"/>
    <mergeCell ref="D23:E23"/>
    <mergeCell ref="F23:G23"/>
    <mergeCell ref="H23:I23"/>
    <mergeCell ref="D24:E24"/>
    <mergeCell ref="F24:G24"/>
    <mergeCell ref="A42:A47"/>
    <mergeCell ref="A27:A29"/>
    <mergeCell ref="B27:B29"/>
    <mergeCell ref="C27:C29"/>
    <mergeCell ref="A13:A18"/>
    <mergeCell ref="A19:A24"/>
  </mergeCells>
  <printOptions/>
  <pageMargins left="0.7086614173228347" right="0.7086614173228347" top="0.7480314960629921" bottom="0.7480314960629921" header="0.31496062992125984" footer="0.31496062992125984"/>
  <pageSetup firstPageNumber="92" useFirstPageNumber="1" fitToHeight="1" fitToWidth="1" horizontalDpi="600" verticalDpi="600" orientation="portrait" paperSize="9" scale="91" r:id="rId1"/>
  <headerFooter>
    <oddFooter>&amp;C&amp;P</oddFooter>
  </headerFooter>
</worksheet>
</file>

<file path=xl/worksheets/sheet19.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3">
      <selection activeCell="G9" sqref="G9"/>
    </sheetView>
  </sheetViews>
  <sheetFormatPr defaultColWidth="9.00390625" defaultRowHeight="13.5"/>
  <cols>
    <col min="1" max="1" width="5.00390625" style="171" customWidth="1"/>
    <col min="2" max="2" width="10.00390625" style="170" customWidth="1"/>
    <col min="3" max="3" width="10.00390625" style="171" customWidth="1"/>
    <col min="4" max="5" width="11.25390625" style="171" customWidth="1"/>
    <col min="6" max="6" width="8.75390625" style="171" customWidth="1"/>
    <col min="7" max="9" width="11.25390625" style="171" customWidth="1"/>
    <col min="10" max="16384" width="9.00390625" style="171" customWidth="1"/>
  </cols>
  <sheetData>
    <row r="1" ht="14.25">
      <c r="A1" s="84" t="s">
        <v>523</v>
      </c>
    </row>
    <row r="2" spans="1:5" s="173" customFormat="1" ht="15" customHeight="1">
      <c r="A2" s="1054" t="s">
        <v>166</v>
      </c>
      <c r="B2" s="1055" t="s">
        <v>195</v>
      </c>
      <c r="C2" s="1054" t="s">
        <v>196</v>
      </c>
      <c r="D2" s="499" t="s">
        <v>69</v>
      </c>
      <c r="E2" s="499" t="s">
        <v>51</v>
      </c>
    </row>
    <row r="3" spans="1:5" s="173" customFormat="1" ht="63" customHeight="1">
      <c r="A3" s="1054"/>
      <c r="B3" s="1055"/>
      <c r="C3" s="1054"/>
      <c r="D3" s="500" t="s">
        <v>205</v>
      </c>
      <c r="E3" s="500" t="s">
        <v>206</v>
      </c>
    </row>
    <row r="4" spans="1:5" s="173" customFormat="1" ht="15" customHeight="1">
      <c r="A4" s="1054"/>
      <c r="B4" s="1055"/>
      <c r="C4" s="1054"/>
      <c r="D4" s="500" t="s">
        <v>207</v>
      </c>
      <c r="E4" s="500" t="s">
        <v>208</v>
      </c>
    </row>
    <row r="5" spans="1:5" s="173" customFormat="1" ht="15" customHeight="1">
      <c r="A5" s="1054"/>
      <c r="B5" s="1055"/>
      <c r="C5" s="1054"/>
      <c r="D5" s="498" t="s">
        <v>197</v>
      </c>
      <c r="E5" s="498" t="s">
        <v>197</v>
      </c>
    </row>
    <row r="6" spans="1:5" ht="15" customHeight="1">
      <c r="A6" s="1056" t="s">
        <v>49</v>
      </c>
      <c r="B6" s="498" t="s">
        <v>483</v>
      </c>
      <c r="C6" s="510">
        <f>SUM(D6:E6)</f>
        <v>1</v>
      </c>
      <c r="D6" s="513">
        <v>1</v>
      </c>
      <c r="E6" s="513">
        <v>0</v>
      </c>
    </row>
    <row r="7" spans="1:5" ht="15" customHeight="1">
      <c r="A7" s="1057"/>
      <c r="B7" s="498" t="s">
        <v>484</v>
      </c>
      <c r="C7" s="531">
        <f>SUM(D7:E7)</f>
        <v>28</v>
      </c>
      <c r="D7" s="514">
        <v>28</v>
      </c>
      <c r="E7" s="514">
        <v>0</v>
      </c>
    </row>
    <row r="8" spans="1:5" ht="13.5">
      <c r="A8" s="1057"/>
      <c r="B8" s="498" t="s">
        <v>485</v>
      </c>
      <c r="C8" s="531">
        <f>SUM(D8:E8)</f>
        <v>56</v>
      </c>
      <c r="D8" s="514">
        <v>56</v>
      </c>
      <c r="E8" s="514">
        <v>0</v>
      </c>
    </row>
    <row r="9" spans="1:5" ht="15" customHeight="1">
      <c r="A9" s="1057"/>
      <c r="B9" s="498" t="s">
        <v>637</v>
      </c>
      <c r="C9" s="511">
        <f>SUM(D9:E9)</f>
        <v>93</v>
      </c>
      <c r="D9" s="532">
        <v>93</v>
      </c>
      <c r="E9" s="514">
        <v>0</v>
      </c>
    </row>
    <row r="10" spans="1:5" ht="15" customHeight="1">
      <c r="A10" s="1057"/>
      <c r="B10" s="498" t="s">
        <v>487</v>
      </c>
      <c r="C10" s="527">
        <f>SUM(D10:E10)</f>
        <v>96</v>
      </c>
      <c r="D10" s="515">
        <v>96</v>
      </c>
      <c r="E10" s="516">
        <v>0</v>
      </c>
    </row>
    <row r="11" spans="1:5" ht="15" customHeight="1">
      <c r="A11" s="1058"/>
      <c r="B11" s="498" t="s">
        <v>4</v>
      </c>
      <c r="C11" s="525">
        <f>SUM(C6:C10)</f>
        <v>274</v>
      </c>
      <c r="D11" s="518">
        <f>SUM(D6:D10)</f>
        <v>274</v>
      </c>
      <c r="E11" s="518">
        <f>SUM(E6:E10)</f>
        <v>0</v>
      </c>
    </row>
    <row r="12" spans="1:5" ht="15" customHeight="1">
      <c r="A12" s="1056" t="s">
        <v>50</v>
      </c>
      <c r="B12" s="498" t="s">
        <v>638</v>
      </c>
      <c r="C12" s="512">
        <f>SUM(D12:E12)</f>
        <v>0</v>
      </c>
      <c r="D12" s="513">
        <v>0</v>
      </c>
      <c r="E12" s="513">
        <v>0</v>
      </c>
    </row>
    <row r="13" spans="1:5" ht="15" customHeight="1">
      <c r="A13" s="1057"/>
      <c r="B13" s="498" t="s">
        <v>484</v>
      </c>
      <c r="C13" s="511">
        <f>SUM(D13:E13)</f>
        <v>63</v>
      </c>
      <c r="D13" s="514">
        <v>63</v>
      </c>
      <c r="E13" s="514">
        <v>0</v>
      </c>
    </row>
    <row r="14" spans="1:5" ht="15" customHeight="1">
      <c r="A14" s="1057"/>
      <c r="B14" s="498" t="s">
        <v>639</v>
      </c>
      <c r="C14" s="511">
        <f>SUM(D14:E14)</f>
        <v>169</v>
      </c>
      <c r="D14" s="514">
        <v>169</v>
      </c>
      <c r="E14" s="514">
        <v>0</v>
      </c>
    </row>
    <row r="15" spans="1:5" ht="15" customHeight="1">
      <c r="A15" s="1057"/>
      <c r="B15" s="498" t="s">
        <v>486</v>
      </c>
      <c r="C15" s="511">
        <f>SUM(D15:E15)</f>
        <v>461</v>
      </c>
      <c r="D15" s="532">
        <v>461</v>
      </c>
      <c r="E15" s="514">
        <v>0</v>
      </c>
    </row>
    <row r="16" spans="1:5" ht="15" customHeight="1">
      <c r="A16" s="1057"/>
      <c r="B16" s="498" t="s">
        <v>640</v>
      </c>
      <c r="C16" s="527">
        <f>SUM(D16:E16)</f>
        <v>677</v>
      </c>
      <c r="D16" s="515">
        <v>677</v>
      </c>
      <c r="E16" s="516">
        <v>0</v>
      </c>
    </row>
    <row r="17" spans="1:5" ht="15" customHeight="1">
      <c r="A17" s="1058"/>
      <c r="B17" s="498" t="s">
        <v>4</v>
      </c>
      <c r="C17" s="525">
        <f>SUM(C12:C16)</f>
        <v>1370</v>
      </c>
      <c r="D17" s="518">
        <f>SUM(D12:D16)</f>
        <v>1370</v>
      </c>
      <c r="E17" s="518">
        <f>SUM(E12:E16)</f>
        <v>0</v>
      </c>
    </row>
    <row r="18" spans="1:5" ht="15" customHeight="1">
      <c r="A18" s="1056" t="s">
        <v>4</v>
      </c>
      <c r="B18" s="498" t="s">
        <v>483</v>
      </c>
      <c r="C18" s="519">
        <f>C6+C12</f>
        <v>1</v>
      </c>
      <c r="D18" s="519">
        <f>D6+D12</f>
        <v>1</v>
      </c>
      <c r="E18" s="519">
        <f>E6+E12</f>
        <v>0</v>
      </c>
    </row>
    <row r="19" spans="1:5" ht="13.5">
      <c r="A19" s="1057"/>
      <c r="B19" s="498" t="s">
        <v>484</v>
      </c>
      <c r="C19" s="514">
        <f aca="true" t="shared" si="0" ref="C19:D23">C7+C13</f>
        <v>91</v>
      </c>
      <c r="D19" s="514">
        <f t="shared" si="0"/>
        <v>91</v>
      </c>
      <c r="E19" s="514">
        <f>E7+E13</f>
        <v>0</v>
      </c>
    </row>
    <row r="20" spans="1:5" ht="15" customHeight="1">
      <c r="A20" s="1057"/>
      <c r="B20" s="498" t="s">
        <v>485</v>
      </c>
      <c r="C20" s="514">
        <f t="shared" si="0"/>
        <v>225</v>
      </c>
      <c r="D20" s="514">
        <f t="shared" si="0"/>
        <v>225</v>
      </c>
      <c r="E20" s="514">
        <f>E8+E14</f>
        <v>0</v>
      </c>
    </row>
    <row r="21" spans="1:5" ht="13.5">
      <c r="A21" s="1057"/>
      <c r="B21" s="498" t="s">
        <v>486</v>
      </c>
      <c r="C21" s="514">
        <f t="shared" si="0"/>
        <v>554</v>
      </c>
      <c r="D21" s="514">
        <f t="shared" si="0"/>
        <v>554</v>
      </c>
      <c r="E21" s="514">
        <f>E9+E15</f>
        <v>0</v>
      </c>
    </row>
    <row r="22" spans="1:5" ht="15" customHeight="1">
      <c r="A22" s="1057"/>
      <c r="B22" s="498" t="s">
        <v>487</v>
      </c>
      <c r="C22" s="520">
        <f t="shared" si="0"/>
        <v>773</v>
      </c>
      <c r="D22" s="520">
        <f t="shared" si="0"/>
        <v>773</v>
      </c>
      <c r="E22" s="520">
        <f>E10+E16</f>
        <v>0</v>
      </c>
    </row>
    <row r="23" spans="1:5" ht="15" customHeight="1">
      <c r="A23" s="1058"/>
      <c r="B23" s="498" t="s">
        <v>4</v>
      </c>
      <c r="C23" s="518">
        <f t="shared" si="0"/>
        <v>1644</v>
      </c>
      <c r="D23" s="518">
        <f t="shared" si="0"/>
        <v>1644</v>
      </c>
      <c r="E23" s="518">
        <f>E11+E17</f>
        <v>0</v>
      </c>
    </row>
    <row r="24" spans="1:4" ht="15" customHeight="1">
      <c r="A24" s="174"/>
      <c r="B24" s="175"/>
      <c r="C24" s="174"/>
      <c r="D24" s="174"/>
    </row>
    <row r="25" ht="15" customHeight="1"/>
    <row r="26" ht="15" customHeight="1">
      <c r="A26" s="84" t="s">
        <v>350</v>
      </c>
    </row>
    <row r="27" spans="1:9" s="173" customFormat="1" ht="15" customHeight="1">
      <c r="A27" s="1056" t="s">
        <v>166</v>
      </c>
      <c r="B27" s="1056" t="s">
        <v>195</v>
      </c>
      <c r="C27" s="1056" t="s">
        <v>196</v>
      </c>
      <c r="D27" s="1059" t="s">
        <v>168</v>
      </c>
      <c r="E27" s="1060"/>
      <c r="F27" s="1061"/>
      <c r="G27" s="1059" t="s">
        <v>209</v>
      </c>
      <c r="H27" s="1060"/>
      <c r="I27" s="1061"/>
    </row>
    <row r="28" spans="1:9" s="173" customFormat="1" ht="15" customHeight="1">
      <c r="A28" s="1057"/>
      <c r="B28" s="1057"/>
      <c r="C28" s="1057"/>
      <c r="D28" s="1056" t="s">
        <v>210</v>
      </c>
      <c r="E28" s="1056" t="s">
        <v>211</v>
      </c>
      <c r="F28" s="1056" t="s">
        <v>68</v>
      </c>
      <c r="G28" s="499" t="s">
        <v>69</v>
      </c>
      <c r="H28" s="499" t="s">
        <v>199</v>
      </c>
      <c r="I28" s="499" t="s">
        <v>212</v>
      </c>
    </row>
    <row r="29" spans="1:9" s="173" customFormat="1" ht="15" customHeight="1">
      <c r="A29" s="1057"/>
      <c r="B29" s="1057"/>
      <c r="C29" s="1057"/>
      <c r="D29" s="1057"/>
      <c r="E29" s="1057"/>
      <c r="F29" s="1057"/>
      <c r="G29" s="500" t="s">
        <v>213</v>
      </c>
      <c r="H29" s="500" t="s">
        <v>214</v>
      </c>
      <c r="I29" s="500" t="s">
        <v>215</v>
      </c>
    </row>
    <row r="30" spans="1:9" s="173" customFormat="1" ht="15" customHeight="1">
      <c r="A30" s="1057"/>
      <c r="B30" s="1057"/>
      <c r="C30" s="1057"/>
      <c r="D30" s="1056" t="s">
        <v>197</v>
      </c>
      <c r="E30" s="1056" t="s">
        <v>197</v>
      </c>
      <c r="F30" s="1056" t="s">
        <v>197</v>
      </c>
      <c r="G30" s="500" t="s">
        <v>216</v>
      </c>
      <c r="H30" s="500" t="s">
        <v>217</v>
      </c>
      <c r="I30" s="500" t="s">
        <v>218</v>
      </c>
    </row>
    <row r="31" spans="1:9" s="173" customFormat="1" ht="15" customHeight="1">
      <c r="A31" s="1057"/>
      <c r="B31" s="1057"/>
      <c r="C31" s="1057"/>
      <c r="D31" s="1057"/>
      <c r="E31" s="1057"/>
      <c r="F31" s="1057"/>
      <c r="G31" s="172" t="s">
        <v>197</v>
      </c>
      <c r="H31" s="172" t="s">
        <v>197</v>
      </c>
      <c r="I31" s="172" t="s">
        <v>197</v>
      </c>
    </row>
    <row r="32" spans="1:9" ht="15" customHeight="1">
      <c r="A32" s="1056" t="s">
        <v>49</v>
      </c>
      <c r="B32" s="498" t="s">
        <v>638</v>
      </c>
      <c r="C32" s="510">
        <f>SUM(D32:F32)</f>
        <v>1</v>
      </c>
      <c r="D32" s="521">
        <v>1</v>
      </c>
      <c r="E32" s="521">
        <v>0</v>
      </c>
      <c r="F32" s="521">
        <v>0</v>
      </c>
      <c r="G32" s="521">
        <v>1</v>
      </c>
      <c r="H32" s="521">
        <v>0</v>
      </c>
      <c r="I32" s="521">
        <v>0</v>
      </c>
    </row>
    <row r="33" spans="1:9" s="176" customFormat="1" ht="15" customHeight="1">
      <c r="A33" s="1057"/>
      <c r="B33" s="498" t="s">
        <v>641</v>
      </c>
      <c r="C33" s="531">
        <f>SUM(D33:F33)</f>
        <v>28</v>
      </c>
      <c r="D33" s="522">
        <v>22</v>
      </c>
      <c r="E33" s="522">
        <v>6</v>
      </c>
      <c r="F33" s="522">
        <v>0</v>
      </c>
      <c r="G33" s="522">
        <v>27</v>
      </c>
      <c r="H33" s="522">
        <v>0</v>
      </c>
      <c r="I33" s="522">
        <v>1</v>
      </c>
    </row>
    <row r="34" spans="1:9" ht="15" customHeight="1">
      <c r="A34" s="1057"/>
      <c r="B34" s="498" t="s">
        <v>485</v>
      </c>
      <c r="C34" s="531">
        <f>SUM(D34:F34)</f>
        <v>56</v>
      </c>
      <c r="D34" s="522">
        <v>46</v>
      </c>
      <c r="E34" s="522">
        <v>10</v>
      </c>
      <c r="F34" s="522">
        <v>0</v>
      </c>
      <c r="G34" s="522">
        <v>56</v>
      </c>
      <c r="H34" s="522">
        <v>0</v>
      </c>
      <c r="I34" s="522">
        <v>0</v>
      </c>
    </row>
    <row r="35" spans="1:9" ht="15" customHeight="1">
      <c r="A35" s="1057"/>
      <c r="B35" s="498" t="s">
        <v>637</v>
      </c>
      <c r="C35" s="511">
        <f>SUM(D35:F35)</f>
        <v>93</v>
      </c>
      <c r="D35" s="523">
        <v>69</v>
      </c>
      <c r="E35" s="522">
        <v>24</v>
      </c>
      <c r="F35" s="523">
        <v>0</v>
      </c>
      <c r="G35" s="523">
        <v>93</v>
      </c>
      <c r="H35" s="522">
        <v>0</v>
      </c>
      <c r="I35" s="523">
        <v>0</v>
      </c>
    </row>
    <row r="36" spans="1:9" ht="15" customHeight="1">
      <c r="A36" s="1057"/>
      <c r="B36" s="498" t="s">
        <v>640</v>
      </c>
      <c r="C36" s="527">
        <f>SUM(D36:F36)</f>
        <v>96</v>
      </c>
      <c r="D36" s="524">
        <v>76</v>
      </c>
      <c r="E36" s="524">
        <v>20</v>
      </c>
      <c r="F36" s="524">
        <v>0</v>
      </c>
      <c r="G36" s="524">
        <v>94</v>
      </c>
      <c r="H36" s="524">
        <v>1</v>
      </c>
      <c r="I36" s="524">
        <v>1</v>
      </c>
    </row>
    <row r="37" spans="1:9" ht="15" customHeight="1">
      <c r="A37" s="1058"/>
      <c r="B37" s="498" t="s">
        <v>4</v>
      </c>
      <c r="C37" s="525">
        <f>SUM(C32:C36)</f>
        <v>274</v>
      </c>
      <c r="D37" s="526">
        <f aca="true" t="shared" si="1" ref="D37:I37">SUM(D32:D36)</f>
        <v>214</v>
      </c>
      <c r="E37" s="526">
        <f t="shared" si="1"/>
        <v>60</v>
      </c>
      <c r="F37" s="526">
        <f t="shared" si="1"/>
        <v>0</v>
      </c>
      <c r="G37" s="526">
        <f t="shared" si="1"/>
        <v>271</v>
      </c>
      <c r="H37" s="526">
        <f t="shared" si="1"/>
        <v>1</v>
      </c>
      <c r="I37" s="526">
        <f t="shared" si="1"/>
        <v>2</v>
      </c>
    </row>
    <row r="38" spans="1:9" ht="15" customHeight="1">
      <c r="A38" s="1056" t="s">
        <v>50</v>
      </c>
      <c r="B38" s="498" t="s">
        <v>638</v>
      </c>
      <c r="C38" s="512">
        <f>SUM(D38:F38)</f>
        <v>0</v>
      </c>
      <c r="D38" s="521">
        <v>0</v>
      </c>
      <c r="E38" s="521">
        <v>0</v>
      </c>
      <c r="F38" s="521">
        <v>0</v>
      </c>
      <c r="G38" s="521">
        <v>0</v>
      </c>
      <c r="H38" s="521">
        <v>0</v>
      </c>
      <c r="I38" s="521">
        <v>0</v>
      </c>
    </row>
    <row r="39" spans="1:9" ht="15" customHeight="1">
      <c r="A39" s="1057"/>
      <c r="B39" s="498" t="s">
        <v>484</v>
      </c>
      <c r="C39" s="511">
        <f>SUM(D39:F39)</f>
        <v>63</v>
      </c>
      <c r="D39" s="522">
        <v>54</v>
      </c>
      <c r="E39" s="522">
        <v>9</v>
      </c>
      <c r="F39" s="522">
        <v>0</v>
      </c>
      <c r="G39" s="522">
        <v>49</v>
      </c>
      <c r="H39" s="522">
        <v>8</v>
      </c>
      <c r="I39" s="522">
        <v>6</v>
      </c>
    </row>
    <row r="40" spans="1:9" ht="15" customHeight="1">
      <c r="A40" s="1057"/>
      <c r="B40" s="498" t="s">
        <v>485</v>
      </c>
      <c r="C40" s="511">
        <f>SUM(D40:F40)</f>
        <v>169</v>
      </c>
      <c r="D40" s="522">
        <v>149</v>
      </c>
      <c r="E40" s="522">
        <v>20</v>
      </c>
      <c r="F40" s="522">
        <v>0</v>
      </c>
      <c r="G40" s="522">
        <v>143</v>
      </c>
      <c r="H40" s="522">
        <v>14</v>
      </c>
      <c r="I40" s="522">
        <v>12</v>
      </c>
    </row>
    <row r="41" spans="1:9" ht="15" customHeight="1">
      <c r="A41" s="1057"/>
      <c r="B41" s="498" t="s">
        <v>637</v>
      </c>
      <c r="C41" s="511">
        <f>SUM(D41:F41)</f>
        <v>461</v>
      </c>
      <c r="D41" s="522">
        <v>397</v>
      </c>
      <c r="E41" s="522">
        <v>64</v>
      </c>
      <c r="F41" s="522">
        <v>0</v>
      </c>
      <c r="G41" s="523">
        <v>382</v>
      </c>
      <c r="H41" s="522">
        <v>61</v>
      </c>
      <c r="I41" s="522">
        <v>18</v>
      </c>
    </row>
    <row r="42" spans="1:9" ht="15" customHeight="1">
      <c r="A42" s="1057"/>
      <c r="B42" s="498" t="s">
        <v>487</v>
      </c>
      <c r="C42" s="527">
        <f>SUM(D42:F42)</f>
        <v>677</v>
      </c>
      <c r="D42" s="528">
        <v>591</v>
      </c>
      <c r="E42" s="528">
        <v>86</v>
      </c>
      <c r="F42" s="528">
        <v>0</v>
      </c>
      <c r="G42" s="524">
        <v>528</v>
      </c>
      <c r="H42" s="528">
        <v>92</v>
      </c>
      <c r="I42" s="528">
        <v>57</v>
      </c>
    </row>
    <row r="43" spans="1:9" ht="15" customHeight="1">
      <c r="A43" s="1058"/>
      <c r="B43" s="498" t="s">
        <v>4</v>
      </c>
      <c r="C43" s="525">
        <f>SUM(C38:C42)</f>
        <v>1370</v>
      </c>
      <c r="D43" s="526">
        <f aca="true" t="shared" si="2" ref="D43:I43">SUM(D38:D42)</f>
        <v>1191</v>
      </c>
      <c r="E43" s="526">
        <f t="shared" si="2"/>
        <v>179</v>
      </c>
      <c r="F43" s="526">
        <f t="shared" si="2"/>
        <v>0</v>
      </c>
      <c r="G43" s="526">
        <f t="shared" si="2"/>
        <v>1102</v>
      </c>
      <c r="H43" s="526">
        <f t="shared" si="2"/>
        <v>175</v>
      </c>
      <c r="I43" s="526">
        <f t="shared" si="2"/>
        <v>93</v>
      </c>
    </row>
    <row r="44" spans="1:9" ht="15" customHeight="1">
      <c r="A44" s="1056" t="s">
        <v>4</v>
      </c>
      <c r="B44" s="498" t="s">
        <v>483</v>
      </c>
      <c r="C44" s="529">
        <f aca="true" t="shared" si="3" ref="C44:F49">C32+C38</f>
        <v>1</v>
      </c>
      <c r="D44" s="529">
        <f t="shared" si="3"/>
        <v>1</v>
      </c>
      <c r="E44" s="510">
        <f>E32+E38</f>
        <v>0</v>
      </c>
      <c r="F44" s="510">
        <f>F32+F38</f>
        <v>0</v>
      </c>
      <c r="G44" s="510">
        <f aca="true" t="shared" si="4" ref="G44:I49">G32+G38</f>
        <v>1</v>
      </c>
      <c r="H44" s="510">
        <f t="shared" si="4"/>
        <v>0</v>
      </c>
      <c r="I44" s="510">
        <f t="shared" si="4"/>
        <v>0</v>
      </c>
    </row>
    <row r="45" spans="1:9" ht="15" customHeight="1">
      <c r="A45" s="1057"/>
      <c r="B45" s="498" t="s">
        <v>484</v>
      </c>
      <c r="C45" s="511">
        <f t="shared" si="3"/>
        <v>91</v>
      </c>
      <c r="D45" s="511">
        <f t="shared" si="3"/>
        <v>76</v>
      </c>
      <c r="E45" s="511">
        <f t="shared" si="3"/>
        <v>15</v>
      </c>
      <c r="F45" s="511">
        <f t="shared" si="3"/>
        <v>0</v>
      </c>
      <c r="G45" s="511">
        <f t="shared" si="4"/>
        <v>76</v>
      </c>
      <c r="H45" s="511">
        <f t="shared" si="4"/>
        <v>8</v>
      </c>
      <c r="I45" s="511">
        <f t="shared" si="4"/>
        <v>7</v>
      </c>
    </row>
    <row r="46" spans="1:9" ht="15" customHeight="1">
      <c r="A46" s="1057"/>
      <c r="B46" s="498" t="s">
        <v>639</v>
      </c>
      <c r="C46" s="511">
        <f t="shared" si="3"/>
        <v>225</v>
      </c>
      <c r="D46" s="511">
        <f t="shared" si="3"/>
        <v>195</v>
      </c>
      <c r="E46" s="511">
        <f t="shared" si="3"/>
        <v>30</v>
      </c>
      <c r="F46" s="511">
        <f t="shared" si="3"/>
        <v>0</v>
      </c>
      <c r="G46" s="511">
        <f t="shared" si="4"/>
        <v>199</v>
      </c>
      <c r="H46" s="511">
        <f t="shared" si="4"/>
        <v>14</v>
      </c>
      <c r="I46" s="511">
        <f t="shared" si="4"/>
        <v>12</v>
      </c>
    </row>
    <row r="47" spans="1:9" ht="15" customHeight="1">
      <c r="A47" s="1057"/>
      <c r="B47" s="498" t="s">
        <v>637</v>
      </c>
      <c r="C47" s="511">
        <f t="shared" si="3"/>
        <v>554</v>
      </c>
      <c r="D47" s="511">
        <f t="shared" si="3"/>
        <v>466</v>
      </c>
      <c r="E47" s="511">
        <f t="shared" si="3"/>
        <v>88</v>
      </c>
      <c r="F47" s="511">
        <f t="shared" si="3"/>
        <v>0</v>
      </c>
      <c r="G47" s="511">
        <f t="shared" si="4"/>
        <v>475</v>
      </c>
      <c r="H47" s="511">
        <f t="shared" si="4"/>
        <v>61</v>
      </c>
      <c r="I47" s="511">
        <f t="shared" si="4"/>
        <v>18</v>
      </c>
    </row>
    <row r="48" spans="1:9" ht="15" customHeight="1">
      <c r="A48" s="1057"/>
      <c r="B48" s="498" t="s">
        <v>487</v>
      </c>
      <c r="C48" s="530">
        <f t="shared" si="3"/>
        <v>773</v>
      </c>
      <c r="D48" s="530">
        <f t="shared" si="3"/>
        <v>667</v>
      </c>
      <c r="E48" s="530">
        <f t="shared" si="3"/>
        <v>106</v>
      </c>
      <c r="F48" s="530">
        <f t="shared" si="3"/>
        <v>0</v>
      </c>
      <c r="G48" s="530">
        <f t="shared" si="4"/>
        <v>622</v>
      </c>
      <c r="H48" s="530">
        <f t="shared" si="4"/>
        <v>93</v>
      </c>
      <c r="I48" s="530">
        <f t="shared" si="4"/>
        <v>58</v>
      </c>
    </row>
    <row r="49" spans="1:9" ht="15" customHeight="1">
      <c r="A49" s="1058"/>
      <c r="B49" s="498" t="s">
        <v>4</v>
      </c>
      <c r="C49" s="525">
        <f t="shared" si="3"/>
        <v>1644</v>
      </c>
      <c r="D49" s="525">
        <f t="shared" si="3"/>
        <v>1405</v>
      </c>
      <c r="E49" s="525">
        <f>E37+E43</f>
        <v>239</v>
      </c>
      <c r="F49" s="525">
        <f>F37+F43</f>
        <v>0</v>
      </c>
      <c r="G49" s="525">
        <f t="shared" si="4"/>
        <v>1373</v>
      </c>
      <c r="H49" s="525">
        <f t="shared" si="4"/>
        <v>176</v>
      </c>
      <c r="I49" s="525">
        <f t="shared" si="4"/>
        <v>95</v>
      </c>
    </row>
    <row r="86" ht="15" customHeight="1"/>
    <row r="87" ht="15" customHeight="1"/>
    <row r="88" ht="15" customHeight="1"/>
    <row r="89" ht="15" customHeight="1"/>
    <row r="90" ht="15" customHeight="1"/>
    <row r="91" ht="15" customHeight="1"/>
  </sheetData>
  <sheetProtection/>
  <mergeCells count="20">
    <mergeCell ref="A44:A49"/>
    <mergeCell ref="G27:I27"/>
    <mergeCell ref="D28:D29"/>
    <mergeCell ref="E28:E29"/>
    <mergeCell ref="F28:F29"/>
    <mergeCell ref="D30:D31"/>
    <mergeCell ref="E30:E31"/>
    <mergeCell ref="F30:F31"/>
    <mergeCell ref="D27:F27"/>
    <mergeCell ref="B27:B31"/>
    <mergeCell ref="A2:A5"/>
    <mergeCell ref="B2:B5"/>
    <mergeCell ref="C2:C5"/>
    <mergeCell ref="A6:A11"/>
    <mergeCell ref="A32:A37"/>
    <mergeCell ref="A38:A43"/>
    <mergeCell ref="C27:C31"/>
    <mergeCell ref="A12:A17"/>
    <mergeCell ref="A18:A23"/>
    <mergeCell ref="A27:A31"/>
  </mergeCells>
  <printOptions/>
  <pageMargins left="0.7086614173228347" right="0.7086614173228347" top="0.7480314960629921" bottom="0.7480314960629921" header="0.31496062992125984" footer="0.31496062992125984"/>
  <pageSetup firstPageNumber="93" useFirstPageNumber="1" horizontalDpi="600" verticalDpi="600" orientation="portrait" paperSize="9" scale="98"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V44"/>
  <sheetViews>
    <sheetView view="pageBreakPreview" zoomScaleSheetLayoutView="100" zoomScalePageLayoutView="0" workbookViewId="0" topLeftCell="A35">
      <selection activeCell="D42" sqref="D42:K42"/>
    </sheetView>
  </sheetViews>
  <sheetFormatPr defaultColWidth="9.00390625" defaultRowHeight="13.5"/>
  <cols>
    <col min="1" max="1" width="1.625" style="67" customWidth="1"/>
    <col min="2" max="2" width="3.375" style="67" customWidth="1"/>
    <col min="3" max="3" width="8.75390625" style="67" customWidth="1"/>
    <col min="4" max="4" width="11.125" style="67" customWidth="1"/>
    <col min="5" max="14" width="5.375" style="67" customWidth="1"/>
    <col min="15" max="15" width="10.125" style="67" customWidth="1"/>
    <col min="16" max="16" width="11.375" style="67" customWidth="1"/>
    <col min="17" max="17" width="1.25" style="67" customWidth="1"/>
    <col min="18" max="18" width="7.125" style="67" bestFit="1" customWidth="1"/>
    <col min="19" max="19" width="9.50390625" style="67" customWidth="1"/>
    <col min="20" max="16384" width="9.00390625" style="67" customWidth="1"/>
  </cols>
  <sheetData>
    <row r="1" spans="1:15" ht="14.25">
      <c r="A1" s="607" t="s">
        <v>382</v>
      </c>
      <c r="B1" s="607"/>
      <c r="C1" s="607"/>
      <c r="D1" s="607"/>
      <c r="E1" s="607"/>
      <c r="F1" s="607"/>
      <c r="G1" s="607"/>
      <c r="H1" s="607"/>
      <c r="I1" s="607"/>
      <c r="J1" s="607"/>
      <c r="K1" s="607"/>
      <c r="L1" s="607"/>
      <c r="M1" s="607"/>
      <c r="N1" s="607"/>
      <c r="O1" s="607"/>
    </row>
    <row r="2" spans="1:17" ht="60.75" customHeight="1">
      <c r="A2" s="537" t="s">
        <v>646</v>
      </c>
      <c r="B2" s="537"/>
      <c r="C2" s="537"/>
      <c r="D2" s="537"/>
      <c r="E2" s="537"/>
      <c r="F2" s="537"/>
      <c r="G2" s="537"/>
      <c r="H2" s="537"/>
      <c r="I2" s="537"/>
      <c r="J2" s="537"/>
      <c r="K2" s="537"/>
      <c r="L2" s="537"/>
      <c r="M2" s="537"/>
      <c r="N2" s="537"/>
      <c r="O2" s="537"/>
      <c r="P2" s="537"/>
      <c r="Q2" s="537"/>
    </row>
    <row r="3" spans="2:16" ht="63" customHeight="1">
      <c r="B3" s="608" t="s">
        <v>288</v>
      </c>
      <c r="C3" s="609"/>
      <c r="D3" s="610"/>
      <c r="E3" s="608" t="s">
        <v>15</v>
      </c>
      <c r="F3" s="609"/>
      <c r="G3" s="609"/>
      <c r="H3" s="609"/>
      <c r="I3" s="609"/>
      <c r="J3" s="609"/>
      <c r="K3" s="614" t="s">
        <v>647</v>
      </c>
      <c r="L3" s="615"/>
      <c r="M3" s="615"/>
      <c r="N3" s="616"/>
      <c r="O3" s="617" t="s">
        <v>648</v>
      </c>
      <c r="P3" s="618"/>
    </row>
    <row r="4" spans="2:16" ht="21.75" customHeight="1">
      <c r="B4" s="611"/>
      <c r="C4" s="612"/>
      <c r="D4" s="613"/>
      <c r="E4" s="611"/>
      <c r="F4" s="612"/>
      <c r="G4" s="612"/>
      <c r="H4" s="612"/>
      <c r="I4" s="612"/>
      <c r="J4" s="612"/>
      <c r="K4" s="614" t="s">
        <v>383</v>
      </c>
      <c r="L4" s="616"/>
      <c r="M4" s="617" t="s">
        <v>384</v>
      </c>
      <c r="N4" s="618"/>
      <c r="O4" s="134" t="s">
        <v>383</v>
      </c>
      <c r="P4" s="134" t="s">
        <v>385</v>
      </c>
    </row>
    <row r="5" spans="2:16" ht="45.75" customHeight="1">
      <c r="B5" s="617" t="s">
        <v>386</v>
      </c>
      <c r="C5" s="624"/>
      <c r="D5" s="625"/>
      <c r="E5" s="626" t="s">
        <v>525</v>
      </c>
      <c r="F5" s="627"/>
      <c r="G5" s="627"/>
      <c r="H5" s="627"/>
      <c r="I5" s="627"/>
      <c r="J5" s="627"/>
      <c r="K5" s="628">
        <v>1087</v>
      </c>
      <c r="L5" s="629"/>
      <c r="M5" s="630">
        <v>1607</v>
      </c>
      <c r="N5" s="616"/>
      <c r="O5" s="363">
        <v>783</v>
      </c>
      <c r="P5" s="363">
        <v>826</v>
      </c>
    </row>
    <row r="6" spans="2:16" ht="10.5" customHeight="1">
      <c r="B6" s="73"/>
      <c r="C6" s="354"/>
      <c r="D6" s="357"/>
      <c r="E6" s="135"/>
      <c r="F6" s="135"/>
      <c r="G6" s="135"/>
      <c r="H6" s="135"/>
      <c r="I6" s="135"/>
      <c r="J6" s="135"/>
      <c r="K6" s="135"/>
      <c r="L6" s="135"/>
      <c r="M6" s="139"/>
      <c r="N6" s="139"/>
      <c r="O6" s="140"/>
      <c r="P6" s="140"/>
    </row>
    <row r="7" spans="2:16" ht="6.75" customHeight="1">
      <c r="B7" s="73"/>
      <c r="C7" s="354"/>
      <c r="D7" s="357"/>
      <c r="E7" s="72"/>
      <c r="F7" s="72"/>
      <c r="G7" s="72"/>
      <c r="H7" s="72"/>
      <c r="I7" s="72"/>
      <c r="J7" s="72"/>
      <c r="K7" s="72"/>
      <c r="L7" s="72"/>
      <c r="M7" s="72"/>
      <c r="N7" s="72"/>
      <c r="O7" s="68"/>
      <c r="P7" s="68"/>
    </row>
    <row r="8" spans="1:18" ht="31.5" customHeight="1">
      <c r="A8" s="607" t="s">
        <v>387</v>
      </c>
      <c r="B8" s="607"/>
      <c r="C8" s="607"/>
      <c r="D8" s="607"/>
      <c r="E8" s="607"/>
      <c r="F8" s="607"/>
      <c r="G8" s="607"/>
      <c r="H8" s="607"/>
      <c r="I8" s="607"/>
      <c r="J8" s="607"/>
      <c r="K8" s="607"/>
      <c r="L8" s="607"/>
      <c r="M8" s="607"/>
      <c r="N8" s="607"/>
      <c r="O8" s="607"/>
      <c r="P8" s="66"/>
      <c r="Q8" s="66"/>
      <c r="R8" s="66"/>
    </row>
    <row r="9" spans="1:18" ht="43.5" customHeight="1">
      <c r="A9" s="619" t="s">
        <v>298</v>
      </c>
      <c r="B9" s="619"/>
      <c r="C9" s="619"/>
      <c r="D9" s="619"/>
      <c r="E9" s="619"/>
      <c r="F9" s="619"/>
      <c r="G9" s="619"/>
      <c r="H9" s="619"/>
      <c r="I9" s="619"/>
      <c r="J9" s="619"/>
      <c r="K9" s="619"/>
      <c r="L9" s="619"/>
      <c r="M9" s="619"/>
      <c r="N9" s="619"/>
      <c r="O9" s="619"/>
      <c r="P9" s="619"/>
      <c r="Q9" s="619"/>
      <c r="R9" s="64"/>
    </row>
    <row r="10" spans="1:18" ht="18" customHeight="1">
      <c r="A10" s="70" t="s">
        <v>388</v>
      </c>
      <c r="B10" s="70"/>
      <c r="C10" s="70"/>
      <c r="D10" s="70"/>
      <c r="E10" s="70"/>
      <c r="F10" s="70"/>
      <c r="G10" s="70"/>
      <c r="H10" s="70"/>
      <c r="I10" s="70"/>
      <c r="J10" s="70"/>
      <c r="K10" s="70"/>
      <c r="L10" s="70"/>
      <c r="M10" s="95"/>
      <c r="N10" s="68"/>
      <c r="O10" s="620"/>
      <c r="P10" s="621"/>
      <c r="Q10" s="621"/>
      <c r="R10" s="68"/>
    </row>
    <row r="11" spans="1:16" ht="22.5" customHeight="1">
      <c r="A11" s="71"/>
      <c r="B11" s="614" t="s">
        <v>288</v>
      </c>
      <c r="C11" s="615"/>
      <c r="D11" s="622"/>
      <c r="E11" s="623" t="s">
        <v>15</v>
      </c>
      <c r="F11" s="623"/>
      <c r="G11" s="623"/>
      <c r="H11" s="623"/>
      <c r="I11" s="623"/>
      <c r="J11" s="623"/>
      <c r="K11" s="623"/>
      <c r="L11" s="623"/>
      <c r="M11" s="623"/>
      <c r="N11" s="623"/>
      <c r="O11" s="96" t="s">
        <v>289</v>
      </c>
      <c r="P11" s="96" t="s">
        <v>183</v>
      </c>
    </row>
    <row r="12" spans="1:19" ht="31.5" customHeight="1">
      <c r="A12" s="64"/>
      <c r="B12" s="631" t="s">
        <v>182</v>
      </c>
      <c r="C12" s="632"/>
      <c r="D12" s="633"/>
      <c r="E12" s="634" t="s">
        <v>290</v>
      </c>
      <c r="F12" s="634"/>
      <c r="G12" s="634"/>
      <c r="H12" s="634"/>
      <c r="I12" s="634"/>
      <c r="J12" s="634"/>
      <c r="K12" s="634"/>
      <c r="L12" s="634"/>
      <c r="M12" s="634"/>
      <c r="N12" s="634"/>
      <c r="O12" s="364">
        <v>39</v>
      </c>
      <c r="P12" s="364">
        <v>725</v>
      </c>
      <c r="Q12" s="71"/>
      <c r="R12" s="71"/>
      <c r="S12" s="68"/>
    </row>
    <row r="13" spans="1:19" ht="31.5" customHeight="1">
      <c r="A13" s="64"/>
      <c r="B13" s="635" t="s">
        <v>149</v>
      </c>
      <c r="C13" s="144" t="s">
        <v>389</v>
      </c>
      <c r="D13" s="353"/>
      <c r="E13" s="638" t="s">
        <v>390</v>
      </c>
      <c r="F13" s="638"/>
      <c r="G13" s="638"/>
      <c r="H13" s="638"/>
      <c r="I13" s="638"/>
      <c r="J13" s="638"/>
      <c r="K13" s="638"/>
      <c r="L13" s="638"/>
      <c r="M13" s="638"/>
      <c r="N13" s="638"/>
      <c r="O13" s="352">
        <v>15</v>
      </c>
      <c r="P13" s="365">
        <v>328</v>
      </c>
      <c r="Q13" s="71"/>
      <c r="R13" s="71"/>
      <c r="S13" s="68"/>
    </row>
    <row r="14" spans="1:16" ht="31.5" customHeight="1">
      <c r="A14" s="64"/>
      <c r="B14" s="636"/>
      <c r="C14" s="639" t="s">
        <v>391</v>
      </c>
      <c r="D14" s="640"/>
      <c r="E14" s="641" t="s">
        <v>291</v>
      </c>
      <c r="F14" s="641"/>
      <c r="G14" s="641"/>
      <c r="H14" s="641"/>
      <c r="I14" s="641"/>
      <c r="J14" s="641"/>
      <c r="K14" s="641"/>
      <c r="L14" s="641"/>
      <c r="M14" s="641"/>
      <c r="N14" s="641"/>
      <c r="O14" s="366" t="s">
        <v>608</v>
      </c>
      <c r="P14" s="366" t="s">
        <v>609</v>
      </c>
    </row>
    <row r="15" spans="1:16" ht="31.5" customHeight="1">
      <c r="A15" s="64"/>
      <c r="B15" s="637"/>
      <c r="C15" s="145" t="s">
        <v>392</v>
      </c>
      <c r="D15" s="145"/>
      <c r="E15" s="146" t="s">
        <v>393</v>
      </c>
      <c r="F15" s="145"/>
      <c r="G15" s="145"/>
      <c r="H15" s="145"/>
      <c r="I15" s="145"/>
      <c r="J15" s="145"/>
      <c r="K15" s="145"/>
      <c r="L15" s="145"/>
      <c r="M15" s="145"/>
      <c r="N15" s="147"/>
      <c r="O15" s="367" t="s">
        <v>610</v>
      </c>
      <c r="P15" s="367" t="s">
        <v>611</v>
      </c>
    </row>
    <row r="16" spans="1:18" s="183" customFormat="1" ht="14.25" customHeight="1">
      <c r="A16" s="191"/>
      <c r="B16" s="356"/>
      <c r="C16" s="356"/>
      <c r="D16" s="358"/>
      <c r="E16" s="358"/>
      <c r="F16" s="358"/>
      <c r="G16" s="358"/>
      <c r="H16" s="358"/>
      <c r="I16" s="358"/>
      <c r="J16" s="358"/>
      <c r="K16" s="358"/>
      <c r="L16" s="358"/>
      <c r="M16" s="358"/>
      <c r="N16" s="358"/>
      <c r="O16" s="358"/>
      <c r="P16" s="358"/>
      <c r="Q16" s="356"/>
      <c r="R16" s="356"/>
    </row>
    <row r="17" spans="1:10" s="360" customFormat="1" ht="22.5" customHeight="1">
      <c r="A17" s="359" t="s">
        <v>394</v>
      </c>
      <c r="B17" s="359"/>
      <c r="C17" s="359"/>
      <c r="D17" s="359"/>
      <c r="E17" s="359"/>
      <c r="F17" s="359"/>
      <c r="G17" s="359"/>
      <c r="H17" s="359"/>
      <c r="I17" s="359"/>
      <c r="J17" s="359"/>
    </row>
    <row r="18" spans="1:10" s="361" customFormat="1" ht="20.25" customHeight="1">
      <c r="A18" s="355" t="s">
        <v>292</v>
      </c>
      <c r="B18" s="355"/>
      <c r="C18" s="355"/>
      <c r="D18" s="355"/>
      <c r="E18" s="355"/>
      <c r="F18" s="355"/>
      <c r="G18" s="355"/>
      <c r="H18" s="355"/>
      <c r="I18" s="355"/>
      <c r="J18" s="355"/>
    </row>
    <row r="19" spans="1:10" s="361" customFormat="1" ht="19.5" customHeight="1">
      <c r="A19" s="355" t="s">
        <v>575</v>
      </c>
      <c r="B19" s="355"/>
      <c r="C19" s="355"/>
      <c r="D19" s="355"/>
      <c r="E19" s="355"/>
      <c r="F19" s="355"/>
      <c r="G19" s="355"/>
      <c r="H19" s="355"/>
      <c r="I19" s="355"/>
      <c r="J19" s="355"/>
    </row>
    <row r="20" spans="1:16" s="183" customFormat="1" ht="14.25" customHeight="1">
      <c r="A20" s="351"/>
      <c r="B20" s="362"/>
      <c r="C20" s="362"/>
      <c r="D20" s="362"/>
      <c r="E20" s="362"/>
      <c r="F20" s="362"/>
      <c r="G20" s="362"/>
      <c r="H20" s="362"/>
      <c r="I20" s="362"/>
      <c r="J20" s="362"/>
      <c r="K20" s="362"/>
      <c r="L20" s="362"/>
      <c r="M20" s="362"/>
      <c r="N20" s="362"/>
      <c r="O20" s="362"/>
      <c r="P20" s="351"/>
    </row>
    <row r="21" spans="1:22" s="183" customFormat="1" ht="24" customHeight="1">
      <c r="A21" s="359" t="s">
        <v>395</v>
      </c>
      <c r="B21" s="359"/>
      <c r="C21" s="359"/>
      <c r="D21" s="359"/>
      <c r="E21" s="359"/>
      <c r="F21" s="359"/>
      <c r="G21" s="359"/>
      <c r="H21" s="359"/>
      <c r="I21" s="359"/>
      <c r="J21" s="359"/>
      <c r="K21" s="359"/>
      <c r="L21" s="359"/>
      <c r="M21" s="359"/>
      <c r="N21" s="359"/>
      <c r="O21" s="359"/>
      <c r="P21" s="354"/>
      <c r="Q21" s="354"/>
      <c r="R21" s="354"/>
      <c r="S21" s="354"/>
      <c r="T21" s="193"/>
      <c r="U21" s="193"/>
      <c r="V21" s="193"/>
    </row>
    <row r="22" spans="2:19" ht="48" customHeight="1">
      <c r="B22" s="586" t="s">
        <v>293</v>
      </c>
      <c r="C22" s="586"/>
      <c r="D22" s="586"/>
      <c r="E22" s="586"/>
      <c r="F22" s="586"/>
      <c r="G22" s="586"/>
      <c r="H22" s="586"/>
      <c r="I22" s="586"/>
      <c r="J22" s="586"/>
      <c r="K22" s="586"/>
      <c r="L22" s="586"/>
      <c r="M22" s="586"/>
      <c r="N22" s="586"/>
      <c r="O22" s="586"/>
      <c r="P22" s="73"/>
      <c r="Q22" s="73"/>
      <c r="R22" s="73"/>
      <c r="S22" s="73"/>
    </row>
    <row r="23" spans="1:18" ht="26.25" customHeight="1">
      <c r="A23" s="66"/>
      <c r="B23" s="642" t="s">
        <v>3</v>
      </c>
      <c r="C23" s="643"/>
      <c r="D23" s="644" t="s">
        <v>14</v>
      </c>
      <c r="E23" s="615"/>
      <c r="F23" s="615"/>
      <c r="G23" s="615"/>
      <c r="H23" s="615"/>
      <c r="I23" s="615"/>
      <c r="J23" s="615"/>
      <c r="K23" s="645"/>
      <c r="L23" s="646" t="s">
        <v>13</v>
      </c>
      <c r="M23" s="647"/>
      <c r="N23" s="648" t="s">
        <v>232</v>
      </c>
      <c r="O23" s="649"/>
      <c r="P23" s="66"/>
      <c r="Q23" s="66"/>
      <c r="R23" s="66"/>
    </row>
    <row r="24" spans="1:18" ht="28.5" customHeight="1">
      <c r="A24" s="74"/>
      <c r="B24" s="92" t="s">
        <v>9</v>
      </c>
      <c r="C24" s="141"/>
      <c r="D24" s="650" t="s">
        <v>311</v>
      </c>
      <c r="E24" s="651"/>
      <c r="F24" s="651"/>
      <c r="G24" s="651"/>
      <c r="H24" s="651"/>
      <c r="I24" s="651"/>
      <c r="J24" s="651"/>
      <c r="K24" s="652"/>
      <c r="L24" s="653">
        <v>2</v>
      </c>
      <c r="M24" s="654"/>
      <c r="N24" s="653">
        <v>8</v>
      </c>
      <c r="O24" s="655"/>
      <c r="P24" s="71"/>
      <c r="Q24" s="71"/>
      <c r="R24" s="71"/>
    </row>
    <row r="25" spans="1:18" ht="28.5" customHeight="1">
      <c r="A25" s="74"/>
      <c r="B25" s="93" t="s">
        <v>8</v>
      </c>
      <c r="C25" s="142"/>
      <c r="D25" s="656" t="s">
        <v>313</v>
      </c>
      <c r="E25" s="657"/>
      <c r="F25" s="657"/>
      <c r="G25" s="657"/>
      <c r="H25" s="657"/>
      <c r="I25" s="657"/>
      <c r="J25" s="657"/>
      <c r="K25" s="658"/>
      <c r="L25" s="659">
        <v>4</v>
      </c>
      <c r="M25" s="660"/>
      <c r="N25" s="659">
        <v>11</v>
      </c>
      <c r="O25" s="661"/>
      <c r="P25" s="69"/>
      <c r="Q25" s="662"/>
      <c r="R25" s="662"/>
    </row>
    <row r="26" spans="1:18" ht="28.5" customHeight="1">
      <c r="A26" s="74"/>
      <c r="B26" s="93" t="s">
        <v>10</v>
      </c>
      <c r="C26" s="142"/>
      <c r="D26" s="656" t="s">
        <v>314</v>
      </c>
      <c r="E26" s="657"/>
      <c r="F26" s="657"/>
      <c r="G26" s="657"/>
      <c r="H26" s="657"/>
      <c r="I26" s="657"/>
      <c r="J26" s="657"/>
      <c r="K26" s="658"/>
      <c r="L26" s="659">
        <v>3</v>
      </c>
      <c r="M26" s="660"/>
      <c r="N26" s="663">
        <v>14</v>
      </c>
      <c r="O26" s="664"/>
      <c r="P26" s="71"/>
      <c r="Q26" s="665"/>
      <c r="R26" s="665"/>
    </row>
    <row r="27" spans="1:18" ht="28.5" customHeight="1">
      <c r="A27" s="74"/>
      <c r="B27" s="93" t="s">
        <v>11</v>
      </c>
      <c r="C27" s="142"/>
      <c r="D27" s="666" t="s">
        <v>315</v>
      </c>
      <c r="E27" s="667"/>
      <c r="F27" s="667"/>
      <c r="G27" s="667"/>
      <c r="H27" s="667"/>
      <c r="I27" s="667"/>
      <c r="J27" s="667"/>
      <c r="K27" s="668"/>
      <c r="L27" s="659">
        <v>9</v>
      </c>
      <c r="M27" s="660"/>
      <c r="N27" s="669">
        <v>23</v>
      </c>
      <c r="O27" s="670"/>
      <c r="P27" s="71"/>
      <c r="Q27" s="665"/>
      <c r="R27" s="665"/>
    </row>
    <row r="28" spans="1:18" ht="28.5" customHeight="1">
      <c r="A28" s="74"/>
      <c r="B28" s="93" t="s">
        <v>12</v>
      </c>
      <c r="C28" s="142"/>
      <c r="D28" s="666" t="s">
        <v>577</v>
      </c>
      <c r="E28" s="667"/>
      <c r="F28" s="667"/>
      <c r="G28" s="667"/>
      <c r="H28" s="667"/>
      <c r="I28" s="667"/>
      <c r="J28" s="667"/>
      <c r="K28" s="668"/>
      <c r="L28" s="659">
        <v>9</v>
      </c>
      <c r="M28" s="660"/>
      <c r="N28" s="669">
        <v>32</v>
      </c>
      <c r="O28" s="670"/>
      <c r="P28" s="71"/>
      <c r="Q28" s="665"/>
      <c r="R28" s="665"/>
    </row>
    <row r="29" spans="1:18" ht="28.5" customHeight="1">
      <c r="A29" s="74"/>
      <c r="B29" s="93" t="s">
        <v>18</v>
      </c>
      <c r="C29" s="142"/>
      <c r="D29" s="656" t="s">
        <v>19</v>
      </c>
      <c r="E29" s="657"/>
      <c r="F29" s="657"/>
      <c r="G29" s="657"/>
      <c r="H29" s="657"/>
      <c r="I29" s="657"/>
      <c r="J29" s="657"/>
      <c r="K29" s="658"/>
      <c r="L29" s="659">
        <v>8</v>
      </c>
      <c r="M29" s="660"/>
      <c r="N29" s="669">
        <v>40</v>
      </c>
      <c r="O29" s="670"/>
      <c r="P29" s="71"/>
      <c r="Q29" s="665"/>
      <c r="R29" s="665"/>
    </row>
    <row r="30" spans="1:18" ht="28.5" customHeight="1">
      <c r="A30" s="74"/>
      <c r="B30" s="93" t="s">
        <v>21</v>
      </c>
      <c r="C30" s="142"/>
      <c r="D30" s="88" t="s">
        <v>22</v>
      </c>
      <c r="E30" s="89"/>
      <c r="F30" s="89"/>
      <c r="G30" s="89"/>
      <c r="H30" s="89"/>
      <c r="I30" s="89"/>
      <c r="J30" s="89"/>
      <c r="K30" s="90"/>
      <c r="L30" s="671">
        <v>6</v>
      </c>
      <c r="M30" s="672"/>
      <c r="N30" s="673">
        <v>46</v>
      </c>
      <c r="O30" s="674"/>
      <c r="P30" s="71"/>
      <c r="Q30" s="665"/>
      <c r="R30" s="665"/>
    </row>
    <row r="31" spans="1:18" ht="28.5" customHeight="1">
      <c r="A31" s="74"/>
      <c r="B31" s="93" t="s">
        <v>133</v>
      </c>
      <c r="C31" s="142"/>
      <c r="D31" s="88" t="s">
        <v>134</v>
      </c>
      <c r="E31" s="89"/>
      <c r="F31" s="89"/>
      <c r="G31" s="89"/>
      <c r="H31" s="89"/>
      <c r="I31" s="89"/>
      <c r="J31" s="89"/>
      <c r="K31" s="90"/>
      <c r="L31" s="671">
        <v>4</v>
      </c>
      <c r="M31" s="672"/>
      <c r="N31" s="673">
        <v>50</v>
      </c>
      <c r="O31" s="674"/>
      <c r="P31" s="71"/>
      <c r="Q31" s="665"/>
      <c r="R31" s="665"/>
    </row>
    <row r="32" spans="1:18" ht="28.5" customHeight="1">
      <c r="A32" s="74"/>
      <c r="B32" s="94" t="s">
        <v>144</v>
      </c>
      <c r="C32" s="143"/>
      <c r="D32" s="88" t="s">
        <v>145</v>
      </c>
      <c r="E32" s="89"/>
      <c r="F32" s="89"/>
      <c r="G32" s="89"/>
      <c r="H32" s="89"/>
      <c r="I32" s="89"/>
      <c r="J32" s="89"/>
      <c r="K32" s="90"/>
      <c r="L32" s="671">
        <v>2</v>
      </c>
      <c r="M32" s="672"/>
      <c r="N32" s="673">
        <v>52</v>
      </c>
      <c r="O32" s="674"/>
      <c r="P32" s="68"/>
      <c r="Q32" s="665"/>
      <c r="R32" s="665"/>
    </row>
    <row r="33" spans="1:18" ht="28.5" customHeight="1">
      <c r="A33" s="74"/>
      <c r="B33" s="94" t="s">
        <v>169</v>
      </c>
      <c r="C33" s="143"/>
      <c r="D33" s="88" t="s">
        <v>170</v>
      </c>
      <c r="E33" s="89"/>
      <c r="F33" s="89"/>
      <c r="G33" s="89"/>
      <c r="H33" s="89"/>
      <c r="I33" s="89"/>
      <c r="J33" s="89"/>
      <c r="K33" s="90"/>
      <c r="L33" s="680">
        <v>2</v>
      </c>
      <c r="M33" s="681"/>
      <c r="N33" s="673">
        <v>54</v>
      </c>
      <c r="O33" s="674"/>
      <c r="P33" s="68"/>
      <c r="Q33" s="665"/>
      <c r="R33" s="665"/>
    </row>
    <row r="34" spans="1:18" ht="28.5" customHeight="1">
      <c r="A34" s="74"/>
      <c r="B34" s="94" t="s">
        <v>316</v>
      </c>
      <c r="C34" s="143"/>
      <c r="D34" s="77" t="s">
        <v>317</v>
      </c>
      <c r="E34" s="78"/>
      <c r="F34" s="78"/>
      <c r="G34" s="78"/>
      <c r="H34" s="78"/>
      <c r="I34" s="78"/>
      <c r="J34" s="78"/>
      <c r="K34" s="79"/>
      <c r="L34" s="682" t="s">
        <v>576</v>
      </c>
      <c r="M34" s="683"/>
      <c r="N34" s="675">
        <v>54</v>
      </c>
      <c r="O34" s="676"/>
      <c r="P34" s="68"/>
      <c r="Q34" s="73"/>
      <c r="R34" s="73"/>
    </row>
    <row r="35" spans="1:18" ht="28.5" customHeight="1">
      <c r="A35" s="74"/>
      <c r="B35" s="94" t="s">
        <v>231</v>
      </c>
      <c r="C35" s="143"/>
      <c r="D35" s="77" t="s">
        <v>317</v>
      </c>
      <c r="E35" s="78"/>
      <c r="F35" s="78"/>
      <c r="G35" s="78"/>
      <c r="H35" s="78"/>
      <c r="I35" s="78"/>
      <c r="J35" s="78"/>
      <c r="K35" s="79"/>
      <c r="L35" s="659" t="s">
        <v>576</v>
      </c>
      <c r="M35" s="660"/>
      <c r="N35" s="675">
        <v>54</v>
      </c>
      <c r="O35" s="676"/>
      <c r="P35" s="68"/>
      <c r="Q35" s="73"/>
      <c r="R35" s="73"/>
    </row>
    <row r="36" spans="1:18" ht="28.5" customHeight="1">
      <c r="A36" s="74"/>
      <c r="B36" s="94" t="s">
        <v>287</v>
      </c>
      <c r="C36" s="143"/>
      <c r="D36" s="77" t="s">
        <v>233</v>
      </c>
      <c r="E36" s="78"/>
      <c r="F36" s="78"/>
      <c r="G36" s="78"/>
      <c r="H36" s="78"/>
      <c r="I36" s="78"/>
      <c r="J36" s="78"/>
      <c r="K36" s="79"/>
      <c r="L36" s="684" t="s">
        <v>312</v>
      </c>
      <c r="M36" s="685"/>
      <c r="N36" s="671">
        <v>54</v>
      </c>
      <c r="O36" s="686"/>
      <c r="P36" s="68"/>
      <c r="Q36" s="73"/>
      <c r="R36" s="73"/>
    </row>
    <row r="37" spans="1:18" ht="28.5" customHeight="1">
      <c r="A37" s="75"/>
      <c r="B37" s="94" t="s">
        <v>318</v>
      </c>
      <c r="C37" s="150"/>
      <c r="D37" s="88" t="s">
        <v>319</v>
      </c>
      <c r="E37" s="89"/>
      <c r="F37" s="89"/>
      <c r="G37" s="89"/>
      <c r="H37" s="89"/>
      <c r="I37" s="89"/>
      <c r="J37" s="89"/>
      <c r="K37" s="90"/>
      <c r="L37" s="671">
        <v>2</v>
      </c>
      <c r="M37" s="672"/>
      <c r="N37" s="671">
        <v>56</v>
      </c>
      <c r="O37" s="686"/>
      <c r="P37" s="68"/>
      <c r="Q37" s="665"/>
      <c r="R37" s="665"/>
    </row>
    <row r="38" spans="1:18" ht="28.5" customHeight="1">
      <c r="A38" s="75"/>
      <c r="B38" s="93" t="s">
        <v>322</v>
      </c>
      <c r="C38" s="142"/>
      <c r="D38" s="88" t="s">
        <v>233</v>
      </c>
      <c r="E38" s="89"/>
      <c r="F38" s="89"/>
      <c r="G38" s="89"/>
      <c r="H38" s="89"/>
      <c r="I38" s="89"/>
      <c r="J38" s="89"/>
      <c r="K38" s="90"/>
      <c r="L38" s="677" t="s">
        <v>312</v>
      </c>
      <c r="M38" s="677"/>
      <c r="N38" s="678">
        <v>56</v>
      </c>
      <c r="O38" s="679"/>
      <c r="P38" s="68"/>
      <c r="Q38" s="665"/>
      <c r="R38" s="665"/>
    </row>
    <row r="39" spans="1:18" ht="28.5" customHeight="1">
      <c r="A39" s="76"/>
      <c r="B39" s="93" t="s">
        <v>331</v>
      </c>
      <c r="C39" s="142"/>
      <c r="D39" s="88" t="s">
        <v>413</v>
      </c>
      <c r="E39" s="89"/>
      <c r="F39" s="89"/>
      <c r="G39" s="89"/>
      <c r="H39" s="89"/>
      <c r="I39" s="89"/>
      <c r="J39" s="89"/>
      <c r="K39" s="90"/>
      <c r="L39" s="677">
        <v>2</v>
      </c>
      <c r="M39" s="677"/>
      <c r="N39" s="678">
        <v>58</v>
      </c>
      <c r="O39" s="679"/>
      <c r="P39" s="68"/>
      <c r="Q39" s="73"/>
      <c r="R39" s="73"/>
    </row>
    <row r="40" spans="1:18" ht="28.5" customHeight="1">
      <c r="A40" s="76"/>
      <c r="B40" s="425" t="s">
        <v>411</v>
      </c>
      <c r="C40" s="68"/>
      <c r="D40" s="690" t="s">
        <v>233</v>
      </c>
      <c r="E40" s="691"/>
      <c r="F40" s="691"/>
      <c r="G40" s="691"/>
      <c r="H40" s="691"/>
      <c r="I40" s="691"/>
      <c r="J40" s="691"/>
      <c r="K40" s="692"/>
      <c r="L40" s="693" t="s">
        <v>414</v>
      </c>
      <c r="M40" s="693"/>
      <c r="N40" s="694">
        <v>58</v>
      </c>
      <c r="O40" s="695"/>
      <c r="P40" s="68"/>
      <c r="Q40" s="73"/>
      <c r="R40" s="73"/>
    </row>
    <row r="41" spans="1:18" ht="28.5" customHeight="1">
      <c r="A41" s="76"/>
      <c r="B41" s="93" t="s">
        <v>578</v>
      </c>
      <c r="C41" s="424"/>
      <c r="D41" s="690" t="s">
        <v>579</v>
      </c>
      <c r="E41" s="691"/>
      <c r="F41" s="691"/>
      <c r="G41" s="691"/>
      <c r="H41" s="691"/>
      <c r="I41" s="691"/>
      <c r="J41" s="691"/>
      <c r="K41" s="692"/>
      <c r="L41" s="700">
        <v>1</v>
      </c>
      <c r="M41" s="701"/>
      <c r="N41" s="702">
        <v>59</v>
      </c>
      <c r="O41" s="703"/>
      <c r="P41" s="68"/>
      <c r="Q41" s="73"/>
      <c r="R41" s="73"/>
    </row>
    <row r="42" spans="1:18" ht="28.5" customHeight="1">
      <c r="A42" s="76"/>
      <c r="B42" s="165" t="s">
        <v>612</v>
      </c>
      <c r="C42" s="423"/>
      <c r="D42" s="697" t="s">
        <v>233</v>
      </c>
      <c r="E42" s="698"/>
      <c r="F42" s="698"/>
      <c r="G42" s="698"/>
      <c r="H42" s="698"/>
      <c r="I42" s="698"/>
      <c r="J42" s="698"/>
      <c r="K42" s="699"/>
      <c r="L42" s="687" t="s">
        <v>414</v>
      </c>
      <c r="M42" s="687"/>
      <c r="N42" s="688">
        <v>59</v>
      </c>
      <c r="O42" s="689"/>
      <c r="P42" s="68"/>
      <c r="Q42" s="73"/>
      <c r="R42" s="73"/>
    </row>
    <row r="43" spans="1:18" ht="56.25" customHeight="1">
      <c r="A43" s="76"/>
      <c r="B43" s="696" t="s">
        <v>613</v>
      </c>
      <c r="C43" s="696"/>
      <c r="D43" s="696"/>
      <c r="E43" s="696"/>
      <c r="F43" s="696"/>
      <c r="G43" s="696"/>
      <c r="H43" s="696"/>
      <c r="I43" s="696"/>
      <c r="J43" s="696"/>
      <c r="K43" s="696"/>
      <c r="L43" s="696"/>
      <c r="M43" s="696"/>
      <c r="N43" s="696"/>
      <c r="O43" s="696"/>
      <c r="P43" s="356"/>
      <c r="Q43" s="356"/>
      <c r="R43" s="73"/>
    </row>
    <row r="44" spans="1:18" ht="22.5" customHeight="1">
      <c r="A44" s="76"/>
      <c r="B44" s="356"/>
      <c r="C44" s="356"/>
      <c r="D44" s="356"/>
      <c r="E44" s="356"/>
      <c r="F44" s="356"/>
      <c r="G44" s="356"/>
      <c r="H44" s="356"/>
      <c r="I44" s="356"/>
      <c r="J44" s="356"/>
      <c r="K44" s="356"/>
      <c r="L44" s="356"/>
      <c r="M44" s="356"/>
      <c r="N44" s="356"/>
      <c r="O44" s="356"/>
      <c r="P44" s="68"/>
      <c r="Q44" s="73"/>
      <c r="R44" s="73"/>
    </row>
  </sheetData>
  <sheetProtection/>
  <mergeCells count="87">
    <mergeCell ref="D40:K40"/>
    <mergeCell ref="L40:M40"/>
    <mergeCell ref="N40:O40"/>
    <mergeCell ref="L39:M39"/>
    <mergeCell ref="N39:O39"/>
    <mergeCell ref="B43:O43"/>
    <mergeCell ref="D42:K42"/>
    <mergeCell ref="L41:M41"/>
    <mergeCell ref="N41:O41"/>
    <mergeCell ref="D41:K41"/>
    <mergeCell ref="L36:M36"/>
    <mergeCell ref="N36:O36"/>
    <mergeCell ref="L37:M37"/>
    <mergeCell ref="N37:O37"/>
    <mergeCell ref="L42:M42"/>
    <mergeCell ref="N42:O42"/>
    <mergeCell ref="Q37:R37"/>
    <mergeCell ref="L38:M38"/>
    <mergeCell ref="N38:O38"/>
    <mergeCell ref="Q38:R38"/>
    <mergeCell ref="L33:M33"/>
    <mergeCell ref="N33:O33"/>
    <mergeCell ref="Q33:R33"/>
    <mergeCell ref="L34:M34"/>
    <mergeCell ref="N34:O34"/>
    <mergeCell ref="L35:M35"/>
    <mergeCell ref="N35:O35"/>
    <mergeCell ref="L31:M31"/>
    <mergeCell ref="N31:O31"/>
    <mergeCell ref="Q31:R31"/>
    <mergeCell ref="L32:M32"/>
    <mergeCell ref="N32:O32"/>
    <mergeCell ref="Q32:R32"/>
    <mergeCell ref="D29:K29"/>
    <mergeCell ref="L29:M29"/>
    <mergeCell ref="N29:O29"/>
    <mergeCell ref="Q29:R29"/>
    <mergeCell ref="L30:M30"/>
    <mergeCell ref="N30:O30"/>
    <mergeCell ref="Q30:R30"/>
    <mergeCell ref="D27:K27"/>
    <mergeCell ref="L27:M27"/>
    <mergeCell ref="N27:O27"/>
    <mergeCell ref="Q27:R27"/>
    <mergeCell ref="D28:K28"/>
    <mergeCell ref="L28:M28"/>
    <mergeCell ref="N28:O28"/>
    <mergeCell ref="Q28:R28"/>
    <mergeCell ref="D25:K25"/>
    <mergeCell ref="L25:M25"/>
    <mergeCell ref="N25:O25"/>
    <mergeCell ref="Q25:R25"/>
    <mergeCell ref="D26:K26"/>
    <mergeCell ref="L26:M26"/>
    <mergeCell ref="N26:O26"/>
    <mergeCell ref="Q26:R26"/>
    <mergeCell ref="B22:O22"/>
    <mergeCell ref="B23:C23"/>
    <mergeCell ref="D23:K23"/>
    <mergeCell ref="L23:M23"/>
    <mergeCell ref="N23:O23"/>
    <mergeCell ref="D24:K24"/>
    <mergeCell ref="L24:M24"/>
    <mergeCell ref="N24:O24"/>
    <mergeCell ref="B12:D12"/>
    <mergeCell ref="E12:N12"/>
    <mergeCell ref="B13:B15"/>
    <mergeCell ref="E13:N13"/>
    <mergeCell ref="C14:D14"/>
    <mergeCell ref="E14:N14"/>
    <mergeCell ref="A8:O8"/>
    <mergeCell ref="A9:Q9"/>
    <mergeCell ref="O10:Q10"/>
    <mergeCell ref="B11:D11"/>
    <mergeCell ref="E11:N11"/>
    <mergeCell ref="B5:D5"/>
    <mergeCell ref="E5:J5"/>
    <mergeCell ref="K5:L5"/>
    <mergeCell ref="M5:N5"/>
    <mergeCell ref="A1:O1"/>
    <mergeCell ref="A2:Q2"/>
    <mergeCell ref="B3:D4"/>
    <mergeCell ref="E3:J4"/>
    <mergeCell ref="K3:N3"/>
    <mergeCell ref="O3:P3"/>
    <mergeCell ref="K4:L4"/>
    <mergeCell ref="M4:N4"/>
  </mergeCells>
  <printOptions/>
  <pageMargins left="0.7086614173228347" right="0.7086614173228347" top="0.7480314960629921" bottom="0.7480314960629921" header="0.31496062992125984" footer="0.5118110236220472"/>
  <pageSetup firstPageNumber="73" useFirstPageNumber="1" horizontalDpi="600" verticalDpi="600" orientation="portrait" paperSize="9" scale="64" r:id="rId1"/>
  <headerFooter>
    <oddFooter>&amp;C&amp;P</oddFooter>
  </headerFooter>
  <colBreaks count="1" manualBreakCount="1">
    <brk id="17" max="65535" man="1"/>
  </colBreaks>
</worksheet>
</file>

<file path=xl/worksheets/sheet20.xml><?xml version="1.0" encoding="utf-8"?>
<worksheet xmlns="http://schemas.openxmlformats.org/spreadsheetml/2006/main" xmlns:r="http://schemas.openxmlformats.org/officeDocument/2006/relationships">
  <dimension ref="A1:L23"/>
  <sheetViews>
    <sheetView showGridLines="0" view="pageBreakPreview" zoomScaleNormal="115" zoomScaleSheetLayoutView="100" zoomScalePageLayoutView="0" workbookViewId="0" topLeftCell="A1">
      <selection activeCell="G9" sqref="G9"/>
    </sheetView>
  </sheetViews>
  <sheetFormatPr defaultColWidth="9.00390625" defaultRowHeight="15" customHeight="1"/>
  <cols>
    <col min="1" max="1" width="1.625" style="9" customWidth="1"/>
    <col min="2" max="2" width="13.625" style="9" customWidth="1"/>
    <col min="3" max="11" width="7.125" style="9" customWidth="1"/>
    <col min="12" max="12" width="8.875" style="9" customWidth="1"/>
    <col min="13" max="15" width="6.625" style="9" customWidth="1"/>
    <col min="16" max="16" width="7.625" style="9" customWidth="1"/>
    <col min="17" max="16384" width="9.00390625" style="9" customWidth="1"/>
  </cols>
  <sheetData>
    <row r="1" spans="1:12" s="1" customFormat="1" ht="19.5" customHeight="1">
      <c r="A1" s="607" t="s">
        <v>370</v>
      </c>
      <c r="B1" s="607"/>
      <c r="C1" s="607"/>
      <c r="D1" s="607"/>
      <c r="E1" s="607"/>
      <c r="F1" s="607"/>
      <c r="G1" s="607"/>
      <c r="H1" s="607"/>
      <c r="I1" s="607"/>
      <c r="J1" s="607"/>
      <c r="K1" s="607"/>
      <c r="L1" s="607"/>
    </row>
    <row r="2" spans="1:12" s="1" customFormat="1" ht="60.75" customHeight="1">
      <c r="A2" s="537" t="s">
        <v>649</v>
      </c>
      <c r="B2" s="537"/>
      <c r="C2" s="537"/>
      <c r="D2" s="537"/>
      <c r="E2" s="537"/>
      <c r="F2" s="537"/>
      <c r="G2" s="537"/>
      <c r="H2" s="537"/>
      <c r="I2" s="537"/>
      <c r="J2" s="537"/>
      <c r="K2" s="537"/>
      <c r="L2" s="537"/>
    </row>
    <row r="3" spans="1:12" s="1" customFormat="1" ht="21.75" customHeight="1">
      <c r="A3" s="70"/>
      <c r="B3" s="4"/>
      <c r="C3" s="7"/>
      <c r="D3" s="7"/>
      <c r="E3" s="7"/>
      <c r="F3" s="7"/>
      <c r="G3" s="7"/>
      <c r="H3" s="7"/>
      <c r="I3" s="7"/>
      <c r="J3" s="7"/>
      <c r="K3" s="7"/>
      <c r="L3" s="86" t="s">
        <v>603</v>
      </c>
    </row>
    <row r="4" spans="1:12" s="3" customFormat="1" ht="24" customHeight="1">
      <c r="A4" s="68"/>
      <c r="B4" s="347" t="s">
        <v>419</v>
      </c>
      <c r="C4" s="1065">
        <v>43536</v>
      </c>
      <c r="D4" s="1066"/>
      <c r="E4" s="1066"/>
      <c r="F4" s="348"/>
      <c r="G4" s="1067" t="s">
        <v>278</v>
      </c>
      <c r="H4" s="1068"/>
      <c r="I4" s="1069" t="s">
        <v>634</v>
      </c>
      <c r="J4" s="1066"/>
      <c r="K4" s="1066"/>
      <c r="L4" s="1070"/>
    </row>
    <row r="5" spans="1:12" s="3" customFormat="1" ht="24" customHeight="1">
      <c r="A5" s="68"/>
      <c r="B5" s="349" t="s">
        <v>420</v>
      </c>
      <c r="C5" s="1071" t="s">
        <v>635</v>
      </c>
      <c r="D5" s="1071"/>
      <c r="E5" s="1071"/>
      <c r="F5" s="1071"/>
      <c r="G5" s="1072"/>
      <c r="H5" s="1071"/>
      <c r="I5" s="1071"/>
      <c r="J5" s="1071"/>
      <c r="K5" s="1071"/>
      <c r="L5" s="1071"/>
    </row>
    <row r="6" spans="1:12" s="1" customFormat="1" ht="24" customHeight="1">
      <c r="A6" s="68"/>
      <c r="B6" s="350" t="s">
        <v>299</v>
      </c>
      <c r="C6" s="1064" t="s">
        <v>636</v>
      </c>
      <c r="D6" s="1064"/>
      <c r="E6" s="1064"/>
      <c r="F6" s="1064"/>
      <c r="G6" s="1064"/>
      <c r="H6" s="1064"/>
      <c r="I6" s="1064"/>
      <c r="J6" s="1064"/>
      <c r="K6" s="1064"/>
      <c r="L6" s="1064"/>
    </row>
    <row r="7" spans="1:12" s="3" customFormat="1" ht="18.75" customHeight="1">
      <c r="A7" s="68"/>
      <c r="B7" s="85"/>
      <c r="C7" s="80"/>
      <c r="D7" s="80"/>
      <c r="E7" s="80"/>
      <c r="F7" s="80"/>
      <c r="G7" s="80"/>
      <c r="H7" s="80"/>
      <c r="I7" s="80"/>
      <c r="J7" s="80"/>
      <c r="K7" s="80"/>
      <c r="L7" s="80"/>
    </row>
    <row r="8" spans="1:12" s="210" customFormat="1" ht="19.5" customHeight="1">
      <c r="A8" s="1062"/>
      <c r="B8" s="1062"/>
      <c r="C8" s="1062"/>
      <c r="D8" s="1062"/>
      <c r="E8" s="1062"/>
      <c r="F8" s="1062"/>
      <c r="G8" s="1062"/>
      <c r="H8" s="1062"/>
      <c r="I8" s="1062"/>
      <c r="J8" s="1062"/>
      <c r="K8" s="1062"/>
      <c r="L8" s="1062"/>
    </row>
    <row r="9" spans="1:12" s="210" customFormat="1" ht="46.5" customHeight="1">
      <c r="A9" s="1063"/>
      <c r="B9" s="1063"/>
      <c r="C9" s="1063"/>
      <c r="D9" s="1063"/>
      <c r="E9" s="1063"/>
      <c r="F9" s="1063"/>
      <c r="G9" s="1063"/>
      <c r="H9" s="1063"/>
      <c r="I9" s="1063"/>
      <c r="J9" s="1063"/>
      <c r="K9" s="1063"/>
      <c r="L9" s="1063"/>
    </row>
    <row r="10" spans="1:12" s="210" customFormat="1" ht="21.75" customHeight="1">
      <c r="A10" s="1062"/>
      <c r="B10" s="1062"/>
      <c r="C10" s="1062"/>
      <c r="D10" s="1062"/>
      <c r="E10" s="1062"/>
      <c r="F10" s="1062"/>
      <c r="G10" s="1062"/>
      <c r="H10" s="1062"/>
      <c r="I10" s="1062"/>
      <c r="J10" s="957"/>
      <c r="K10" s="957"/>
      <c r="L10" s="957"/>
    </row>
    <row r="11" spans="1:12" s="210" customFormat="1" ht="7.5" customHeight="1">
      <c r="A11" s="7"/>
      <c r="B11" s="7"/>
      <c r="C11" s="7"/>
      <c r="D11" s="7"/>
      <c r="E11" s="7"/>
      <c r="F11" s="7"/>
      <c r="G11" s="7"/>
      <c r="H11" s="7"/>
      <c r="I11" s="7"/>
      <c r="J11" s="8"/>
      <c r="K11" s="86"/>
      <c r="L11" s="86"/>
    </row>
    <row r="12" spans="2:12" s="210" customFormat="1" ht="21.75" customHeight="1">
      <c r="B12" s="1073"/>
      <c r="C12" s="1075"/>
      <c r="D12" s="1073"/>
      <c r="E12" s="1073"/>
      <c r="F12" s="1073"/>
      <c r="G12" s="1073"/>
      <c r="H12" s="1073"/>
      <c r="I12" s="1073"/>
      <c r="J12" s="1073"/>
      <c r="K12" s="1073"/>
      <c r="L12" s="1073"/>
    </row>
    <row r="13" spans="2:12" s="210" customFormat="1" ht="13.5">
      <c r="B13" s="1073"/>
      <c r="C13" s="1075"/>
      <c r="D13" s="212"/>
      <c r="E13" s="212"/>
      <c r="F13" s="85"/>
      <c r="G13" s="211"/>
      <c r="H13" s="211"/>
      <c r="I13" s="212"/>
      <c r="J13" s="212"/>
      <c r="K13" s="212"/>
      <c r="L13" s="85"/>
    </row>
    <row r="14" spans="2:12" s="210" customFormat="1" ht="30" customHeight="1">
      <c r="B14" s="213"/>
      <c r="C14" s="214"/>
      <c r="D14" s="214"/>
      <c r="E14" s="214"/>
      <c r="F14" s="214"/>
      <c r="G14" s="214"/>
      <c r="H14" s="214"/>
      <c r="I14" s="214"/>
      <c r="J14" s="214"/>
      <c r="K14" s="214"/>
      <c r="L14" s="214"/>
    </row>
    <row r="15" spans="1:12" s="215" customFormat="1" ht="12.75" customHeight="1">
      <c r="A15" s="4"/>
      <c r="B15" s="4"/>
      <c r="C15" s="4"/>
      <c r="D15" s="4"/>
      <c r="E15" s="4"/>
      <c r="F15" s="4"/>
      <c r="G15" s="4"/>
      <c r="H15" s="4"/>
      <c r="I15" s="4"/>
      <c r="J15" s="4"/>
      <c r="K15" s="4"/>
      <c r="L15" s="47"/>
    </row>
    <row r="16" spans="1:12" s="215" customFormat="1" ht="21.75" customHeight="1">
      <c r="A16" s="7"/>
      <c r="B16" s="7"/>
      <c r="C16" s="7"/>
      <c r="D16" s="7"/>
      <c r="E16" s="7"/>
      <c r="F16" s="4"/>
      <c r="G16" s="4"/>
      <c r="H16" s="4"/>
      <c r="I16" s="4"/>
      <c r="J16" s="4"/>
      <c r="K16" s="4"/>
      <c r="L16" s="4"/>
    </row>
    <row r="17" spans="1:12" s="215" customFormat="1" ht="7.5" customHeight="1">
      <c r="A17" s="7"/>
      <c r="B17" s="7"/>
      <c r="C17" s="7"/>
      <c r="D17" s="7"/>
      <c r="E17" s="7"/>
      <c r="F17" s="4"/>
      <c r="G17" s="4"/>
      <c r="H17" s="4"/>
      <c r="I17" s="4"/>
      <c r="J17" s="4"/>
      <c r="K17" s="4"/>
      <c r="L17" s="4"/>
    </row>
    <row r="18" spans="1:12" s="215" customFormat="1" ht="24" customHeight="1">
      <c r="A18" s="210"/>
      <c r="B18" s="1073"/>
      <c r="C18" s="1074"/>
      <c r="D18" s="1074"/>
      <c r="E18" s="210"/>
      <c r="F18" s="210"/>
      <c r="G18" s="210"/>
      <c r="H18" s="210"/>
      <c r="I18" s="210"/>
      <c r="J18" s="210"/>
      <c r="K18" s="210"/>
      <c r="L18" s="210"/>
    </row>
    <row r="19" spans="1:12" s="215" customFormat="1" ht="16.5" customHeight="1">
      <c r="A19" s="210"/>
      <c r="B19" s="1073"/>
      <c r="C19" s="212"/>
      <c r="D19" s="212"/>
      <c r="E19" s="210"/>
      <c r="F19" s="210"/>
      <c r="G19" s="210"/>
      <c r="H19" s="210"/>
      <c r="I19" s="210"/>
      <c r="J19" s="210"/>
      <c r="K19" s="210"/>
      <c r="L19" s="210"/>
    </row>
    <row r="20" spans="1:12" s="215" customFormat="1" ht="19.5" customHeight="1">
      <c r="A20" s="210"/>
      <c r="B20" s="85"/>
      <c r="C20" s="214"/>
      <c r="D20" s="214"/>
      <c r="E20" s="210"/>
      <c r="F20" s="210"/>
      <c r="G20" s="210"/>
      <c r="H20" s="210"/>
      <c r="I20" s="210"/>
      <c r="J20" s="210"/>
      <c r="K20" s="210"/>
      <c r="L20" s="210"/>
    </row>
    <row r="21" spans="1:12" s="215" customFormat="1" ht="19.5" customHeight="1">
      <c r="A21" s="210"/>
      <c r="B21" s="85"/>
      <c r="C21" s="214"/>
      <c r="D21" s="214"/>
      <c r="E21" s="210"/>
      <c r="F21" s="210"/>
      <c r="G21" s="210"/>
      <c r="H21" s="210"/>
      <c r="I21" s="210"/>
      <c r="J21" s="210"/>
      <c r="K21" s="210"/>
      <c r="L21" s="210"/>
    </row>
    <row r="22" spans="1:12" s="215" customFormat="1" ht="19.5" customHeight="1">
      <c r="A22" s="210"/>
      <c r="B22" s="85"/>
      <c r="C22" s="214"/>
      <c r="D22" s="214"/>
      <c r="E22" s="210"/>
      <c r="F22" s="210"/>
      <c r="G22" s="210"/>
      <c r="H22" s="210"/>
      <c r="I22" s="210"/>
      <c r="J22" s="210"/>
      <c r="K22" s="210"/>
      <c r="L22" s="210"/>
    </row>
    <row r="23" spans="1:12" s="215" customFormat="1" ht="19.5" customHeight="1">
      <c r="A23" s="210"/>
      <c r="B23" s="85"/>
      <c r="C23" s="214"/>
      <c r="D23" s="214"/>
      <c r="E23" s="210"/>
      <c r="F23" s="210"/>
      <c r="G23" s="210"/>
      <c r="H23" s="210"/>
      <c r="I23" s="210"/>
      <c r="J23" s="210"/>
      <c r="K23" s="210"/>
      <c r="L23" s="210"/>
    </row>
    <row r="24" s="215" customFormat="1" ht="12.75" customHeight="1"/>
  </sheetData>
  <sheetProtection/>
  <mergeCells count="17">
    <mergeCell ref="B18:B19"/>
    <mergeCell ref="C18:D18"/>
    <mergeCell ref="A10:I10"/>
    <mergeCell ref="J10:L10"/>
    <mergeCell ref="B12:B13"/>
    <mergeCell ref="C12:C13"/>
    <mergeCell ref="D12:E12"/>
    <mergeCell ref="F12:L12"/>
    <mergeCell ref="A8:L8"/>
    <mergeCell ref="A9:L9"/>
    <mergeCell ref="A1:L1"/>
    <mergeCell ref="A2:L2"/>
    <mergeCell ref="C6:L6"/>
    <mergeCell ref="C4:E4"/>
    <mergeCell ref="G4:H4"/>
    <mergeCell ref="I4:L4"/>
    <mergeCell ref="C5:L5"/>
  </mergeCells>
  <printOptions/>
  <pageMargins left="0.7086614173228347" right="0.7086614173228347" top="0.7480314960629921" bottom="0.7480314960629921" header="0.31496062992125984" footer="0.31496062992125984"/>
  <pageSetup firstPageNumber="94" useFirstPageNumber="1"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X75"/>
  <sheetViews>
    <sheetView view="pageBreakPreview" zoomScaleSheetLayoutView="100" zoomScalePageLayoutView="0" workbookViewId="0" topLeftCell="A25">
      <selection activeCell="G9" sqref="G9"/>
    </sheetView>
  </sheetViews>
  <sheetFormatPr defaultColWidth="9.00390625" defaultRowHeight="15" customHeight="1"/>
  <cols>
    <col min="1" max="1" width="1.625" style="186" customWidth="1"/>
    <col min="2" max="2" width="10.25390625" style="186" customWidth="1"/>
    <col min="3" max="3" width="9.125" style="186" customWidth="1"/>
    <col min="4" max="4" width="9.25390625" style="186" customWidth="1"/>
    <col min="5" max="5" width="8.75390625" style="186" customWidth="1"/>
    <col min="6" max="6" width="9.25390625" style="186" customWidth="1"/>
    <col min="7" max="7" width="9.125" style="186" customWidth="1"/>
    <col min="8" max="9" width="9.75390625" style="186" customWidth="1"/>
    <col min="10" max="10" width="9.25390625" style="186" customWidth="1"/>
    <col min="11" max="11" width="7.375" style="186" bestFit="1" customWidth="1"/>
    <col min="12" max="12" width="7.50390625" style="186" bestFit="1" customWidth="1"/>
    <col min="13" max="15" width="6.625" style="186" customWidth="1"/>
    <col min="16" max="16" width="7.625" style="186" customWidth="1"/>
    <col min="17" max="16384" width="9.00390625" style="186" customWidth="1"/>
  </cols>
  <sheetData>
    <row r="1" spans="1:15" s="183" customFormat="1" ht="26.25" customHeight="1">
      <c r="A1" s="181" t="s">
        <v>396</v>
      </c>
      <c r="B1" s="181"/>
      <c r="C1" s="182"/>
      <c r="D1" s="182"/>
      <c r="E1" s="182"/>
      <c r="H1" s="184"/>
      <c r="I1" s="707"/>
      <c r="J1" s="707"/>
      <c r="K1" s="707"/>
      <c r="L1" s="707"/>
      <c r="M1" s="184"/>
      <c r="N1" s="184"/>
      <c r="O1" s="181"/>
    </row>
    <row r="2" spans="1:12" ht="25.5" customHeight="1">
      <c r="A2" s="185"/>
      <c r="B2" s="708" t="s">
        <v>288</v>
      </c>
      <c r="C2" s="709"/>
      <c r="D2" s="710"/>
      <c r="E2" s="410" t="s">
        <v>1</v>
      </c>
      <c r="F2" s="411" t="s">
        <v>397</v>
      </c>
      <c r="H2" s="187"/>
      <c r="I2" s="187"/>
      <c r="J2" s="185"/>
      <c r="K2" s="185"/>
      <c r="L2" s="185"/>
    </row>
    <row r="3" spans="1:9" ht="63" customHeight="1">
      <c r="A3" s="185"/>
      <c r="B3" s="711" t="s">
        <v>416</v>
      </c>
      <c r="C3" s="712"/>
      <c r="D3" s="713"/>
      <c r="E3" s="412">
        <v>10</v>
      </c>
      <c r="F3" s="413">
        <v>167</v>
      </c>
      <c r="H3" s="188"/>
      <c r="I3" s="185"/>
    </row>
    <row r="4" spans="1:9" ht="26.25" customHeight="1">
      <c r="A4" s="185"/>
      <c r="B4" s="704" t="s">
        <v>417</v>
      </c>
      <c r="C4" s="705"/>
      <c r="D4" s="706"/>
      <c r="E4" s="414">
        <v>12</v>
      </c>
      <c r="F4" s="415">
        <v>687</v>
      </c>
      <c r="H4" s="189"/>
      <c r="I4" s="185"/>
    </row>
    <row r="5" spans="1:9" ht="26.25" customHeight="1">
      <c r="A5" s="185"/>
      <c r="B5" s="704" t="s">
        <v>398</v>
      </c>
      <c r="C5" s="705"/>
      <c r="D5" s="706"/>
      <c r="E5" s="414">
        <v>1</v>
      </c>
      <c r="F5" s="415">
        <v>46</v>
      </c>
      <c r="G5" s="186" t="s">
        <v>399</v>
      </c>
      <c r="H5" s="188"/>
      <c r="I5" s="185"/>
    </row>
    <row r="6" spans="1:9" ht="26.25" customHeight="1">
      <c r="A6" s="185"/>
      <c r="B6" s="714" t="s">
        <v>597</v>
      </c>
      <c r="C6" s="715"/>
      <c r="D6" s="716"/>
      <c r="E6" s="414">
        <v>1</v>
      </c>
      <c r="F6" s="415">
        <v>28</v>
      </c>
      <c r="H6" s="188"/>
      <c r="I6" s="185"/>
    </row>
    <row r="7" spans="1:9" ht="26.25" customHeight="1">
      <c r="A7" s="185"/>
      <c r="B7" s="704" t="s">
        <v>400</v>
      </c>
      <c r="C7" s="705"/>
      <c r="D7" s="706"/>
      <c r="E7" s="414">
        <v>20</v>
      </c>
      <c r="F7" s="415">
        <v>413</v>
      </c>
      <c r="H7" s="188"/>
      <c r="I7" s="185"/>
    </row>
    <row r="8" spans="1:24" s="183" customFormat="1" ht="26.25" customHeight="1">
      <c r="A8" s="187"/>
      <c r="B8" s="704" t="s">
        <v>401</v>
      </c>
      <c r="C8" s="705"/>
      <c r="D8" s="706"/>
      <c r="E8" s="416">
        <v>3</v>
      </c>
      <c r="F8" s="417">
        <v>100</v>
      </c>
      <c r="H8" s="188"/>
      <c r="I8" s="187"/>
      <c r="J8" s="190"/>
      <c r="K8" s="190"/>
      <c r="L8" s="190"/>
      <c r="M8" s="191"/>
      <c r="N8" s="191"/>
      <c r="O8" s="187"/>
      <c r="P8" s="187"/>
      <c r="Q8" s="187"/>
      <c r="R8" s="187"/>
      <c r="S8" s="187"/>
      <c r="T8" s="187"/>
      <c r="U8" s="187"/>
      <c r="V8" s="187"/>
      <c r="W8" s="187"/>
      <c r="X8" s="187"/>
    </row>
    <row r="9" spans="1:24" s="183" customFormat="1" ht="26.25" customHeight="1">
      <c r="A9" s="187"/>
      <c r="B9" s="717" t="s">
        <v>614</v>
      </c>
      <c r="C9" s="705"/>
      <c r="D9" s="706"/>
      <c r="E9" s="414">
        <v>16</v>
      </c>
      <c r="F9" s="415">
        <v>228</v>
      </c>
      <c r="H9" s="188"/>
      <c r="I9" s="187"/>
      <c r="J9" s="190"/>
      <c r="K9" s="190"/>
      <c r="L9" s="190"/>
      <c r="O9" s="187"/>
      <c r="P9" s="187"/>
      <c r="Q9" s="187"/>
      <c r="R9" s="187"/>
      <c r="S9" s="187"/>
      <c r="T9" s="187"/>
      <c r="U9" s="187"/>
      <c r="V9" s="187"/>
      <c r="W9" s="192"/>
      <c r="X9" s="192"/>
    </row>
    <row r="10" spans="1:24" s="183" customFormat="1" ht="26.25" customHeight="1">
      <c r="A10" s="187"/>
      <c r="B10" s="717" t="s">
        <v>598</v>
      </c>
      <c r="C10" s="705"/>
      <c r="D10" s="706"/>
      <c r="E10" s="416">
        <v>9</v>
      </c>
      <c r="F10" s="417">
        <v>271</v>
      </c>
      <c r="H10" s="188"/>
      <c r="I10" s="187"/>
      <c r="J10" s="190"/>
      <c r="K10" s="190"/>
      <c r="L10" s="190"/>
      <c r="M10" s="191"/>
      <c r="N10" s="191"/>
      <c r="O10" s="187"/>
      <c r="P10" s="187"/>
      <c r="Q10" s="187"/>
      <c r="R10" s="187"/>
      <c r="S10" s="187"/>
      <c r="T10" s="187"/>
      <c r="U10" s="187"/>
      <c r="V10" s="187"/>
      <c r="W10" s="187"/>
      <c r="X10" s="187"/>
    </row>
    <row r="11" spans="1:24" s="183" customFormat="1" ht="26.25" customHeight="1">
      <c r="A11" s="187"/>
      <c r="B11" s="717" t="s">
        <v>599</v>
      </c>
      <c r="C11" s="705"/>
      <c r="D11" s="706"/>
      <c r="E11" s="418">
        <v>17</v>
      </c>
      <c r="F11" s="419">
        <v>434</v>
      </c>
      <c r="H11" s="188"/>
      <c r="I11" s="187"/>
      <c r="J11" s="190"/>
      <c r="K11" s="190"/>
      <c r="L11" s="190"/>
      <c r="M11" s="191"/>
      <c r="N11" s="191"/>
      <c r="O11" s="187"/>
      <c r="P11" s="187"/>
      <c r="Q11" s="187"/>
      <c r="R11" s="187"/>
      <c r="S11" s="187"/>
      <c r="T11" s="187"/>
      <c r="U11" s="187"/>
      <c r="V11" s="187"/>
      <c r="W11" s="187"/>
      <c r="X11" s="187"/>
    </row>
    <row r="12" spans="1:24" s="183" customFormat="1" ht="26.25" customHeight="1">
      <c r="A12" s="187"/>
      <c r="B12" s="708" t="s">
        <v>4</v>
      </c>
      <c r="C12" s="727"/>
      <c r="D12" s="728"/>
      <c r="E12" s="420">
        <f>SUM(E3:E11)</f>
        <v>89</v>
      </c>
      <c r="F12" s="421">
        <f>SUM(F3:F11)</f>
        <v>2374</v>
      </c>
      <c r="H12" s="188"/>
      <c r="I12" s="187"/>
      <c r="J12" s="190"/>
      <c r="K12" s="190"/>
      <c r="L12" s="190"/>
      <c r="M12" s="191"/>
      <c r="N12" s="191"/>
      <c r="O12" s="187"/>
      <c r="P12" s="187"/>
      <c r="Q12" s="187"/>
      <c r="R12" s="187"/>
      <c r="S12" s="187"/>
      <c r="T12" s="187"/>
      <c r="U12" s="187"/>
      <c r="V12" s="187"/>
      <c r="W12" s="187"/>
      <c r="X12" s="187"/>
    </row>
    <row r="13" spans="1:24" s="183" customFormat="1" ht="26.25" customHeight="1">
      <c r="A13" s="187"/>
      <c r="B13" s="187"/>
      <c r="C13" s="193"/>
      <c r="D13" s="193"/>
      <c r="E13" s="194"/>
      <c r="F13" s="187"/>
      <c r="G13" s="187"/>
      <c r="H13" s="185"/>
      <c r="I13" s="185"/>
      <c r="J13" s="190"/>
      <c r="K13" s="190"/>
      <c r="L13" s="190"/>
      <c r="M13" s="191"/>
      <c r="N13" s="191"/>
      <c r="O13" s="187"/>
      <c r="P13" s="187"/>
      <c r="Q13" s="187"/>
      <c r="R13" s="187"/>
      <c r="S13" s="187"/>
      <c r="T13" s="187"/>
      <c r="U13" s="187"/>
      <c r="V13" s="187"/>
      <c r="W13" s="187"/>
      <c r="X13" s="187"/>
    </row>
    <row r="14" spans="1:10" s="195" customFormat="1" ht="26.25" customHeight="1">
      <c r="A14" s="181" t="s">
        <v>402</v>
      </c>
      <c r="B14" s="181"/>
      <c r="C14" s="181"/>
      <c r="D14" s="181"/>
      <c r="E14" s="181"/>
      <c r="F14" s="181"/>
      <c r="G14" s="181"/>
      <c r="H14" s="181"/>
      <c r="I14" s="181"/>
      <c r="J14" s="181"/>
    </row>
    <row r="15" spans="1:10" s="195" customFormat="1" ht="26.25" customHeight="1">
      <c r="A15" s="196" t="s">
        <v>403</v>
      </c>
      <c r="B15" s="729" t="s">
        <v>404</v>
      </c>
      <c r="C15" s="729"/>
      <c r="D15" s="729"/>
      <c r="E15" s="729"/>
      <c r="F15" s="729"/>
      <c r="G15" s="729"/>
      <c r="H15" s="729"/>
      <c r="I15" s="729"/>
      <c r="J15" s="196"/>
    </row>
    <row r="16" spans="1:6" s="195" customFormat="1" ht="26.25" customHeight="1">
      <c r="A16" s="197" t="s">
        <v>418</v>
      </c>
      <c r="B16" s="198"/>
      <c r="C16" s="198"/>
      <c r="D16" s="198"/>
      <c r="E16" s="198"/>
      <c r="F16" s="183"/>
    </row>
    <row r="17" spans="2:6" s="195" customFormat="1" ht="25.5" customHeight="1">
      <c r="B17" s="730" t="s">
        <v>3</v>
      </c>
      <c r="C17" s="731"/>
      <c r="D17" s="732"/>
      <c r="E17" s="368" t="s">
        <v>1</v>
      </c>
      <c r="F17" s="199" t="s">
        <v>294</v>
      </c>
    </row>
    <row r="18" spans="2:6" s="195" customFormat="1" ht="26.25" customHeight="1">
      <c r="B18" s="736" t="s">
        <v>16</v>
      </c>
      <c r="C18" s="737"/>
      <c r="D18" s="738"/>
      <c r="E18" s="370">
        <v>199</v>
      </c>
      <c r="F18" s="370">
        <v>2826</v>
      </c>
    </row>
    <row r="19" spans="2:6" s="195" customFormat="1" ht="26.25" customHeight="1">
      <c r="B19" s="733" t="s">
        <v>17</v>
      </c>
      <c r="C19" s="734"/>
      <c r="D19" s="735"/>
      <c r="E19" s="371">
        <v>25</v>
      </c>
      <c r="F19" s="371">
        <v>28</v>
      </c>
    </row>
    <row r="20" spans="2:6" s="195" customFormat="1" ht="26.25" customHeight="1">
      <c r="B20" s="718" t="s">
        <v>20</v>
      </c>
      <c r="C20" s="719"/>
      <c r="D20" s="720"/>
      <c r="E20" s="371">
        <v>34</v>
      </c>
      <c r="F20" s="371">
        <v>198</v>
      </c>
    </row>
    <row r="21" spans="2:6" s="195" customFormat="1" ht="26.25" customHeight="1">
      <c r="B21" s="721" t="s">
        <v>295</v>
      </c>
      <c r="C21" s="722"/>
      <c r="D21" s="723"/>
      <c r="E21" s="372">
        <v>17</v>
      </c>
      <c r="F21" s="372">
        <v>1519</v>
      </c>
    </row>
    <row r="22" spans="1:6" s="195" customFormat="1" ht="26.25" customHeight="1">
      <c r="A22" s="200"/>
      <c r="B22" s="724" t="s">
        <v>4</v>
      </c>
      <c r="C22" s="725"/>
      <c r="D22" s="726"/>
      <c r="E22" s="373">
        <f>SUM(E18:E21)</f>
        <v>275</v>
      </c>
      <c r="F22" s="373">
        <f>SUM(F18:F21)</f>
        <v>4571</v>
      </c>
    </row>
    <row r="23" spans="1:6" s="195" customFormat="1" ht="26.25" customHeight="1">
      <c r="A23" s="200"/>
      <c r="B23" s="369" t="s">
        <v>580</v>
      </c>
      <c r="C23" s="201"/>
      <c r="D23" s="201"/>
      <c r="E23" s="202"/>
      <c r="F23" s="202"/>
    </row>
    <row r="24" spans="1:12" s="195" customFormat="1" ht="26.25" customHeight="1">
      <c r="A24" s="200"/>
      <c r="B24" s="369"/>
      <c r="C24" s="203"/>
      <c r="D24" s="203"/>
      <c r="E24" s="202"/>
      <c r="F24" s="202"/>
      <c r="G24" s="204"/>
      <c r="H24" s="204"/>
      <c r="I24" s="204"/>
      <c r="J24" s="204"/>
      <c r="K24" s="204"/>
      <c r="L24" s="204"/>
    </row>
    <row r="25" spans="1:16" ht="26.25" customHeight="1">
      <c r="A25" s="538" t="s">
        <v>405</v>
      </c>
      <c r="B25" s="538"/>
      <c r="C25" s="538"/>
      <c r="D25" s="538"/>
      <c r="E25" s="538"/>
      <c r="F25" s="538"/>
      <c r="G25" s="538"/>
      <c r="H25" s="538"/>
      <c r="I25" s="538"/>
      <c r="N25" s="195"/>
      <c r="O25" s="195"/>
      <c r="P25" s="195"/>
    </row>
    <row r="26" spans="1:10" s="195" customFormat="1" ht="33" customHeight="1">
      <c r="A26" s="739" t="s">
        <v>296</v>
      </c>
      <c r="B26" s="739"/>
      <c r="C26" s="739"/>
      <c r="D26" s="739"/>
      <c r="E26" s="739"/>
      <c r="F26" s="739"/>
      <c r="G26" s="739"/>
      <c r="H26" s="739"/>
      <c r="I26" s="739"/>
      <c r="J26" s="739"/>
    </row>
    <row r="27" spans="1:11" s="195" customFormat="1" ht="26.25" customHeight="1">
      <c r="A27" s="205"/>
      <c r="B27" s="740" t="s">
        <v>171</v>
      </c>
      <c r="C27" s="740"/>
      <c r="D27" s="740"/>
      <c r="E27" s="740"/>
      <c r="F27" s="740"/>
      <c r="G27" s="740"/>
      <c r="H27" s="740"/>
      <c r="I27" s="740"/>
      <c r="J27" s="206" t="s">
        <v>172</v>
      </c>
      <c r="K27" s="200"/>
    </row>
    <row r="28" spans="1:11" s="195" customFormat="1" ht="26.25" customHeight="1">
      <c r="A28" s="207"/>
      <c r="B28" s="743" t="s">
        <v>297</v>
      </c>
      <c r="C28" s="708" t="s">
        <v>185</v>
      </c>
      <c r="D28" s="741"/>
      <c r="E28" s="742" t="s">
        <v>412</v>
      </c>
      <c r="F28" s="741"/>
      <c r="G28" s="742" t="s">
        <v>581</v>
      </c>
      <c r="H28" s="741"/>
      <c r="I28" s="742" t="s">
        <v>615</v>
      </c>
      <c r="J28" s="741"/>
      <c r="K28" s="200"/>
    </row>
    <row r="29" spans="2:11" s="195" customFormat="1" ht="26.25" customHeight="1">
      <c r="B29" s="744"/>
      <c r="C29" s="750" t="s">
        <v>186</v>
      </c>
      <c r="D29" s="751"/>
      <c r="E29" s="752">
        <v>107</v>
      </c>
      <c r="F29" s="753"/>
      <c r="G29" s="752">
        <v>300</v>
      </c>
      <c r="H29" s="753"/>
      <c r="I29" s="752">
        <v>215</v>
      </c>
      <c r="J29" s="753"/>
      <c r="K29" s="200"/>
    </row>
    <row r="30" spans="2:16" s="195" customFormat="1" ht="26.25" customHeight="1">
      <c r="B30" s="744"/>
      <c r="C30" s="759" t="s">
        <v>187</v>
      </c>
      <c r="D30" s="760"/>
      <c r="E30" s="761">
        <v>3</v>
      </c>
      <c r="F30" s="762"/>
      <c r="G30" s="761">
        <v>0</v>
      </c>
      <c r="H30" s="762"/>
      <c r="I30" s="761">
        <v>0</v>
      </c>
      <c r="J30" s="762"/>
      <c r="K30" s="200"/>
      <c r="N30" s="186"/>
      <c r="O30" s="186"/>
      <c r="P30" s="186"/>
    </row>
    <row r="31" spans="2:16" s="195" customFormat="1" ht="26.25" customHeight="1">
      <c r="B31" s="744"/>
      <c r="C31" s="746" t="s">
        <v>2</v>
      </c>
      <c r="D31" s="747"/>
      <c r="E31" s="748">
        <v>1</v>
      </c>
      <c r="F31" s="749"/>
      <c r="G31" s="748">
        <v>1</v>
      </c>
      <c r="H31" s="749"/>
      <c r="I31" s="748">
        <v>0</v>
      </c>
      <c r="J31" s="749"/>
      <c r="K31" s="200"/>
      <c r="N31" s="186"/>
      <c r="O31" s="186"/>
      <c r="P31" s="186"/>
    </row>
    <row r="32" spans="2:16" s="195" customFormat="1" ht="26.25" customHeight="1">
      <c r="B32" s="745"/>
      <c r="C32" s="754" t="s">
        <v>173</v>
      </c>
      <c r="D32" s="755"/>
      <c r="E32" s="756">
        <f>SUM(E29:F31)</f>
        <v>111</v>
      </c>
      <c r="F32" s="757"/>
      <c r="G32" s="756">
        <f>SUM(G29:H31)</f>
        <v>301</v>
      </c>
      <c r="H32" s="757"/>
      <c r="I32" s="756">
        <f>SUM(I29:J31)</f>
        <v>215</v>
      </c>
      <c r="J32" s="757"/>
      <c r="K32" s="200"/>
      <c r="N32" s="186"/>
      <c r="O32" s="186"/>
      <c r="P32" s="186"/>
    </row>
    <row r="33" spans="1:10" ht="71.25" customHeight="1">
      <c r="A33" s="185"/>
      <c r="B33" s="758" t="s">
        <v>582</v>
      </c>
      <c r="C33" s="758"/>
      <c r="D33" s="758"/>
      <c r="E33" s="758"/>
      <c r="F33" s="758"/>
      <c r="G33" s="758"/>
      <c r="H33" s="758"/>
      <c r="I33" s="758"/>
      <c r="J33" s="758"/>
    </row>
    <row r="38" ht="15" customHeight="1">
      <c r="G38" s="208"/>
    </row>
    <row r="42" spans="1:2" ht="15" customHeight="1">
      <c r="A42" s="185"/>
      <c r="B42" s="185"/>
    </row>
    <row r="43" spans="1:2" ht="15" customHeight="1">
      <c r="A43" s="185"/>
      <c r="B43" s="185"/>
    </row>
    <row r="44" spans="1:2" ht="15" customHeight="1">
      <c r="A44" s="185"/>
      <c r="B44" s="185"/>
    </row>
    <row r="45" spans="1:2" ht="15" customHeight="1">
      <c r="A45" s="185"/>
      <c r="B45" s="185"/>
    </row>
    <row r="46" spans="1:2" ht="15" customHeight="1">
      <c r="A46" s="185"/>
      <c r="B46" s="185"/>
    </row>
    <row r="47" spans="1:2" ht="15" customHeight="1">
      <c r="A47" s="185"/>
      <c r="B47" s="185"/>
    </row>
    <row r="48" spans="1:2" ht="15" customHeight="1">
      <c r="A48" s="185"/>
      <c r="B48" s="185"/>
    </row>
    <row r="49" spans="1:2" ht="15" customHeight="1">
      <c r="A49" s="185"/>
      <c r="B49" s="185"/>
    </row>
    <row r="50" spans="1:2" ht="15" customHeight="1">
      <c r="A50" s="185"/>
      <c r="B50" s="185"/>
    </row>
    <row r="51" spans="1:2" ht="15" customHeight="1">
      <c r="A51" s="185"/>
      <c r="B51" s="185"/>
    </row>
    <row r="52" spans="1:2" ht="15" customHeight="1">
      <c r="A52" s="185"/>
      <c r="B52" s="185"/>
    </row>
    <row r="53" spans="1:2" ht="15" customHeight="1">
      <c r="A53" s="185"/>
      <c r="B53" s="185"/>
    </row>
    <row r="54" spans="1:2" ht="15" customHeight="1">
      <c r="A54" s="185"/>
      <c r="B54" s="185"/>
    </row>
    <row r="55" spans="1:2" ht="15" customHeight="1">
      <c r="A55" s="185"/>
      <c r="B55" s="185"/>
    </row>
    <row r="56" spans="1:2" ht="15" customHeight="1">
      <c r="A56" s="185"/>
      <c r="B56" s="185"/>
    </row>
    <row r="57" spans="1:2" ht="15" customHeight="1">
      <c r="A57" s="185"/>
      <c r="B57" s="185"/>
    </row>
    <row r="58" spans="1:2" ht="15" customHeight="1">
      <c r="A58" s="185"/>
      <c r="B58" s="185"/>
    </row>
    <row r="59" spans="1:2" ht="15" customHeight="1">
      <c r="A59" s="185"/>
      <c r="B59" s="185"/>
    </row>
    <row r="60" spans="1:2" ht="15" customHeight="1">
      <c r="A60" s="185"/>
      <c r="B60" s="185"/>
    </row>
    <row r="61" spans="1:2" ht="15" customHeight="1">
      <c r="A61" s="185"/>
      <c r="B61" s="185"/>
    </row>
    <row r="62" spans="1:2" ht="15" customHeight="1">
      <c r="A62" s="185"/>
      <c r="B62" s="185"/>
    </row>
    <row r="63" spans="1:2" ht="15" customHeight="1">
      <c r="A63" s="185"/>
      <c r="B63" s="185"/>
    </row>
    <row r="64" spans="1:2" ht="15" customHeight="1">
      <c r="A64" s="185"/>
      <c r="B64" s="185"/>
    </row>
    <row r="65" spans="1:2" ht="15" customHeight="1">
      <c r="A65" s="185"/>
      <c r="B65" s="185"/>
    </row>
    <row r="66" spans="1:2" ht="15" customHeight="1">
      <c r="A66" s="185"/>
      <c r="B66" s="185"/>
    </row>
    <row r="67" spans="1:2" ht="15" customHeight="1">
      <c r="A67" s="185"/>
      <c r="B67" s="185"/>
    </row>
    <row r="68" spans="1:2" ht="15" customHeight="1">
      <c r="A68" s="185"/>
      <c r="B68" s="185"/>
    </row>
    <row r="69" spans="1:2" ht="15" customHeight="1">
      <c r="A69" s="185"/>
      <c r="B69" s="185"/>
    </row>
    <row r="70" spans="1:2" ht="15" customHeight="1">
      <c r="A70" s="185"/>
      <c r="B70" s="185"/>
    </row>
    <row r="71" spans="1:2" ht="15" customHeight="1">
      <c r="A71" s="185"/>
      <c r="B71" s="185"/>
    </row>
    <row r="72" spans="1:2" ht="15" customHeight="1">
      <c r="A72" s="185"/>
      <c r="B72" s="185"/>
    </row>
    <row r="73" spans="1:2" ht="15" customHeight="1">
      <c r="A73" s="185"/>
      <c r="B73" s="185"/>
    </row>
    <row r="74" spans="1:2" ht="15" customHeight="1">
      <c r="A74" s="185"/>
      <c r="B74" s="185"/>
    </row>
    <row r="75" spans="1:2" ht="15" customHeight="1">
      <c r="A75" s="185"/>
      <c r="B75" s="185"/>
    </row>
  </sheetData>
  <sheetProtection/>
  <mergeCells count="44">
    <mergeCell ref="C32:D32"/>
    <mergeCell ref="E32:F32"/>
    <mergeCell ref="G32:H32"/>
    <mergeCell ref="I32:J32"/>
    <mergeCell ref="B33:J33"/>
    <mergeCell ref="C30:D30"/>
    <mergeCell ref="E30:F30"/>
    <mergeCell ref="G30:H30"/>
    <mergeCell ref="I30:J30"/>
    <mergeCell ref="E31:F31"/>
    <mergeCell ref="G31:H31"/>
    <mergeCell ref="I31:J31"/>
    <mergeCell ref="C29:D29"/>
    <mergeCell ref="E29:F29"/>
    <mergeCell ref="G29:H29"/>
    <mergeCell ref="I29:J29"/>
    <mergeCell ref="B18:D18"/>
    <mergeCell ref="A25:I25"/>
    <mergeCell ref="A26:J26"/>
    <mergeCell ref="B27:I27"/>
    <mergeCell ref="C28:D28"/>
    <mergeCell ref="E28:F28"/>
    <mergeCell ref="G28:H28"/>
    <mergeCell ref="I28:J28"/>
    <mergeCell ref="B28:B32"/>
    <mergeCell ref="C31:D31"/>
    <mergeCell ref="B9:D9"/>
    <mergeCell ref="B20:D20"/>
    <mergeCell ref="B21:D21"/>
    <mergeCell ref="B22:D22"/>
    <mergeCell ref="B11:D11"/>
    <mergeCell ref="B12:D12"/>
    <mergeCell ref="B15:I15"/>
    <mergeCell ref="B17:D17"/>
    <mergeCell ref="B10:D10"/>
    <mergeCell ref="B19:D19"/>
    <mergeCell ref="B8:D8"/>
    <mergeCell ref="I1:L1"/>
    <mergeCell ref="B2:D2"/>
    <mergeCell ref="B3:D3"/>
    <mergeCell ref="B4:D4"/>
    <mergeCell ref="B5:D5"/>
    <mergeCell ref="B7:D7"/>
    <mergeCell ref="B6:D6"/>
  </mergeCells>
  <printOptions/>
  <pageMargins left="0.7086614173228347" right="0.7086614173228347" top="0.7480314960629921" bottom="0.7480314960629921" header="0.31496062992125984" footer="0.31496062992125984"/>
  <pageSetup firstPageNumber="74" useFirstPageNumber="1" horizontalDpi="600" verticalDpi="600" orientation="portrait" paperSize="9" scale="83" r:id="rId1"/>
  <headerFooter>
    <oddFooter>&amp;C&amp;P</oddFooter>
  </headerFooter>
  <rowBreaks count="1" manualBreakCount="1">
    <brk id="24" max="11" man="1"/>
  </rowBreaks>
</worksheet>
</file>

<file path=xl/worksheets/sheet4.xml><?xml version="1.0" encoding="utf-8"?>
<worksheet xmlns="http://schemas.openxmlformats.org/spreadsheetml/2006/main" xmlns:r="http://schemas.openxmlformats.org/officeDocument/2006/relationships">
  <dimension ref="A1:F33"/>
  <sheetViews>
    <sheetView showGridLines="0" view="pageBreakPreview" zoomScaleSheetLayoutView="100" zoomScalePageLayoutView="0" workbookViewId="0" topLeftCell="A19">
      <selection activeCell="A2" sqref="A2:G3"/>
    </sheetView>
  </sheetViews>
  <sheetFormatPr defaultColWidth="9.00390625" defaultRowHeight="18" customHeight="1"/>
  <cols>
    <col min="1" max="1" width="1.625" style="1" customWidth="1"/>
    <col min="2" max="2" width="16.25390625" style="1" customWidth="1"/>
    <col min="3" max="3" width="27.625" style="1" customWidth="1"/>
    <col min="4" max="4" width="8.25390625" style="1" customWidth="1"/>
    <col min="5" max="5" width="18.75390625" style="1" customWidth="1"/>
    <col min="6" max="6" width="18.25390625" style="1" customWidth="1"/>
    <col min="7" max="16384" width="9.00390625" style="1" customWidth="1"/>
  </cols>
  <sheetData>
    <row r="1" spans="1:6" ht="18" customHeight="1">
      <c r="A1" s="790" t="s">
        <v>337</v>
      </c>
      <c r="B1" s="790"/>
      <c r="C1" s="790"/>
      <c r="D1" s="790"/>
      <c r="E1" s="790"/>
      <c r="F1" s="790"/>
    </row>
    <row r="2" spans="2:6" ht="53.25" customHeight="1">
      <c r="B2" s="791" t="s">
        <v>161</v>
      </c>
      <c r="C2" s="791"/>
      <c r="D2" s="791"/>
      <c r="E2" s="791"/>
      <c r="F2" s="791"/>
    </row>
    <row r="3" spans="1:6" ht="15.75" customHeight="1">
      <c r="A3" s="790" t="s">
        <v>338</v>
      </c>
      <c r="B3" s="790"/>
      <c r="C3" s="790"/>
      <c r="D3" s="790"/>
      <c r="E3" s="790"/>
      <c r="F3" s="790"/>
    </row>
    <row r="4" spans="2:6" s="3" customFormat="1" ht="24" customHeight="1">
      <c r="B4" s="48" t="s">
        <v>48</v>
      </c>
      <c r="C4" s="792" t="s">
        <v>23</v>
      </c>
      <c r="D4" s="793"/>
      <c r="E4" s="794" t="s">
        <v>24</v>
      </c>
      <c r="F4" s="795"/>
    </row>
    <row r="5" spans="2:6" s="3" customFormat="1" ht="72" customHeight="1">
      <c r="B5" s="796" t="s">
        <v>25</v>
      </c>
      <c r="C5" s="763" t="s">
        <v>407</v>
      </c>
      <c r="D5" s="764"/>
      <c r="E5" s="788" t="s">
        <v>153</v>
      </c>
      <c r="F5" s="789"/>
    </row>
    <row r="6" spans="2:6" s="3" customFormat="1" ht="48" customHeight="1">
      <c r="B6" s="797"/>
      <c r="C6" s="786" t="s">
        <v>165</v>
      </c>
      <c r="D6" s="787"/>
      <c r="E6" s="788" t="s">
        <v>176</v>
      </c>
      <c r="F6" s="789"/>
    </row>
    <row r="7" spans="2:6" s="3" customFormat="1" ht="24.75" customHeight="1">
      <c r="B7" s="10" t="s">
        <v>26</v>
      </c>
      <c r="C7" s="691" t="s">
        <v>27</v>
      </c>
      <c r="D7" s="692"/>
      <c r="E7" s="690" t="s">
        <v>567</v>
      </c>
      <c r="F7" s="781"/>
    </row>
    <row r="8" spans="2:6" s="3" customFormat="1" ht="24.75" customHeight="1">
      <c r="B8" s="10" t="s">
        <v>28</v>
      </c>
      <c r="C8" s="812" t="s">
        <v>616</v>
      </c>
      <c r="D8" s="813"/>
      <c r="E8" s="702" t="s">
        <v>617</v>
      </c>
      <c r="F8" s="703"/>
    </row>
    <row r="9" spans="2:6" s="3" customFormat="1" ht="48" customHeight="1">
      <c r="B9" s="11" t="s">
        <v>29</v>
      </c>
      <c r="C9" s="800" t="s">
        <v>162</v>
      </c>
      <c r="D9" s="801"/>
      <c r="E9" s="810" t="s">
        <v>164</v>
      </c>
      <c r="F9" s="811"/>
    </row>
    <row r="10" s="3" customFormat="1" ht="18" customHeight="1"/>
    <row r="11" spans="1:6" ht="18" customHeight="1">
      <c r="A11" s="790" t="s">
        <v>339</v>
      </c>
      <c r="B11" s="790"/>
      <c r="C11" s="790"/>
      <c r="D11" s="790"/>
      <c r="E11" s="790"/>
      <c r="F11" s="790"/>
    </row>
    <row r="12" spans="2:6" s="3" customFormat="1" ht="18" customHeight="1">
      <c r="B12" s="796" t="s">
        <v>48</v>
      </c>
      <c r="C12" s="784" t="s">
        <v>30</v>
      </c>
      <c r="D12" s="815" t="s">
        <v>31</v>
      </c>
      <c r="E12" s="815"/>
      <c r="F12" s="816"/>
    </row>
    <row r="13" spans="2:6" s="3" customFormat="1" ht="18" customHeight="1">
      <c r="B13" s="814"/>
      <c r="C13" s="785"/>
      <c r="D13" s="798" t="s">
        <v>23</v>
      </c>
      <c r="E13" s="799"/>
      <c r="F13" s="12" t="s">
        <v>24</v>
      </c>
    </row>
    <row r="14" spans="2:6" s="3" customFormat="1" ht="18" customHeight="1">
      <c r="B14" s="802" t="s">
        <v>150</v>
      </c>
      <c r="C14" s="778" t="s">
        <v>421</v>
      </c>
      <c r="D14" s="768" t="s">
        <v>151</v>
      </c>
      <c r="E14" s="769"/>
      <c r="F14" s="765" t="s">
        <v>153</v>
      </c>
    </row>
    <row r="15" spans="2:6" s="3" customFormat="1" ht="18" customHeight="1">
      <c r="B15" s="803"/>
      <c r="C15" s="554"/>
      <c r="D15" s="779" t="s">
        <v>163</v>
      </c>
      <c r="E15" s="780"/>
      <c r="F15" s="766"/>
    </row>
    <row r="16" spans="2:6" s="3" customFormat="1" ht="18" customHeight="1">
      <c r="B16" s="797"/>
      <c r="C16" s="554"/>
      <c r="D16" s="806" t="s">
        <v>422</v>
      </c>
      <c r="E16" s="692"/>
      <c r="F16" s="767"/>
    </row>
    <row r="17" spans="2:6" s="3" customFormat="1" ht="15" customHeight="1">
      <c r="B17" s="10" t="s">
        <v>179</v>
      </c>
      <c r="C17" s="49"/>
      <c r="D17" s="770" t="s">
        <v>423</v>
      </c>
      <c r="E17" s="771"/>
      <c r="F17" s="19" t="s">
        <v>180</v>
      </c>
    </row>
    <row r="18" spans="2:6" s="3" customFormat="1" ht="24" customHeight="1">
      <c r="B18" s="802" t="s">
        <v>332</v>
      </c>
      <c r="C18" s="14" t="s">
        <v>32</v>
      </c>
      <c r="D18" s="804" t="s">
        <v>33</v>
      </c>
      <c r="E18" s="805"/>
      <c r="F18" s="766" t="s">
        <v>618</v>
      </c>
    </row>
    <row r="19" spans="2:6" s="3" customFormat="1" ht="24" customHeight="1">
      <c r="B19" s="803"/>
      <c r="C19" s="148" t="s">
        <v>328</v>
      </c>
      <c r="D19" s="691" t="s">
        <v>329</v>
      </c>
      <c r="E19" s="692"/>
      <c r="F19" s="766"/>
    </row>
    <row r="20" spans="2:6" s="3" customFormat="1" ht="15" customHeight="1">
      <c r="B20" s="802" t="s">
        <v>135</v>
      </c>
      <c r="C20" s="16" t="s">
        <v>34</v>
      </c>
      <c r="D20" s="774" t="s">
        <v>564</v>
      </c>
      <c r="E20" s="775"/>
      <c r="F20" s="766"/>
    </row>
    <row r="21" spans="2:6" s="3" customFormat="1" ht="15" customHeight="1">
      <c r="B21" s="803"/>
      <c r="C21" s="17" t="s">
        <v>156</v>
      </c>
      <c r="D21" s="776"/>
      <c r="E21" s="777"/>
      <c r="F21" s="766"/>
    </row>
    <row r="22" spans="2:6" s="3" customFormat="1" ht="15" customHeight="1">
      <c r="B22" s="797"/>
      <c r="C22" s="18" t="s">
        <v>35</v>
      </c>
      <c r="D22" s="772" t="s">
        <v>152</v>
      </c>
      <c r="E22" s="773"/>
      <c r="F22" s="766"/>
    </row>
    <row r="23" spans="2:6" s="3" customFormat="1" ht="29.25" customHeight="1">
      <c r="B23" s="10" t="s">
        <v>36</v>
      </c>
      <c r="C23" s="14" t="s">
        <v>37</v>
      </c>
      <c r="D23" s="804" t="s">
        <v>604</v>
      </c>
      <c r="E23" s="805"/>
      <c r="F23" s="767"/>
    </row>
    <row r="24" spans="2:6" s="3" customFormat="1" ht="30" customHeight="1">
      <c r="B24" s="15" t="s">
        <v>136</v>
      </c>
      <c r="C24" s="18" t="s">
        <v>424</v>
      </c>
      <c r="D24" s="804" t="s">
        <v>620</v>
      </c>
      <c r="E24" s="805"/>
      <c r="F24" s="13" t="s">
        <v>177</v>
      </c>
    </row>
    <row r="25" spans="2:6" s="3" customFormat="1" ht="30" customHeight="1">
      <c r="B25" s="10" t="s">
        <v>219</v>
      </c>
      <c r="C25" s="14" t="s">
        <v>38</v>
      </c>
      <c r="D25" s="804" t="s">
        <v>621</v>
      </c>
      <c r="E25" s="805"/>
      <c r="F25" s="19" t="s">
        <v>619</v>
      </c>
    </row>
    <row r="26" spans="2:6" s="3" customFormat="1" ht="24" customHeight="1">
      <c r="B26" s="15" t="s">
        <v>174</v>
      </c>
      <c r="C26" s="20" t="s">
        <v>41</v>
      </c>
      <c r="D26" s="808" t="s">
        <v>425</v>
      </c>
      <c r="E26" s="804"/>
      <c r="F26" s="809"/>
    </row>
    <row r="27" spans="2:6" s="3" customFormat="1" ht="24" customHeight="1">
      <c r="B27" s="10" t="s">
        <v>39</v>
      </c>
      <c r="C27" s="14" t="s">
        <v>40</v>
      </c>
      <c r="D27" s="804" t="s">
        <v>276</v>
      </c>
      <c r="E27" s="805"/>
      <c r="F27" s="19" t="s">
        <v>154</v>
      </c>
    </row>
    <row r="28" spans="2:6" s="3" customFormat="1" ht="30" customHeight="1">
      <c r="B28" s="10" t="s">
        <v>44</v>
      </c>
      <c r="C28" s="21" t="s">
        <v>45</v>
      </c>
      <c r="D28" s="804" t="s">
        <v>46</v>
      </c>
      <c r="E28" s="805"/>
      <c r="F28" s="19" t="s">
        <v>155</v>
      </c>
    </row>
    <row r="29" spans="2:6" s="3" customFormat="1" ht="30" customHeight="1">
      <c r="B29" s="10" t="s">
        <v>42</v>
      </c>
      <c r="C29" s="21" t="s">
        <v>43</v>
      </c>
      <c r="D29" s="804" t="s">
        <v>178</v>
      </c>
      <c r="E29" s="805"/>
      <c r="F29" s="22" t="s">
        <v>426</v>
      </c>
    </row>
    <row r="30" spans="2:6" s="3" customFormat="1" ht="16.5" customHeight="1">
      <c r="B30" s="802" t="s">
        <v>47</v>
      </c>
      <c r="C30" s="426" t="s">
        <v>605</v>
      </c>
      <c r="D30" s="807" t="s">
        <v>607</v>
      </c>
      <c r="E30" s="775"/>
      <c r="F30" s="820" t="s">
        <v>426</v>
      </c>
    </row>
    <row r="31" spans="2:6" s="3" customFormat="1" ht="16.5" customHeight="1">
      <c r="B31" s="817"/>
      <c r="C31" s="16" t="s">
        <v>606</v>
      </c>
      <c r="D31" s="818" t="s">
        <v>408</v>
      </c>
      <c r="E31" s="819"/>
      <c r="F31" s="821"/>
    </row>
    <row r="32" spans="2:6" s="3" customFormat="1" ht="30" customHeight="1">
      <c r="B32" s="15" t="s">
        <v>137</v>
      </c>
      <c r="C32" s="16" t="s">
        <v>138</v>
      </c>
      <c r="D32" s="807" t="s">
        <v>565</v>
      </c>
      <c r="E32" s="775"/>
      <c r="F32" s="23" t="s">
        <v>426</v>
      </c>
    </row>
    <row r="33" spans="2:6" s="3" customFormat="1" ht="24" customHeight="1">
      <c r="B33" s="11" t="s">
        <v>300</v>
      </c>
      <c r="C33" s="24" t="s">
        <v>301</v>
      </c>
      <c r="D33" s="782" t="s">
        <v>408</v>
      </c>
      <c r="E33" s="783"/>
      <c r="F33" s="136" t="s">
        <v>426</v>
      </c>
    </row>
  </sheetData>
  <sheetProtection/>
  <mergeCells count="48">
    <mergeCell ref="B30:B31"/>
    <mergeCell ref="D31:E31"/>
    <mergeCell ref="F30:F31"/>
    <mergeCell ref="D24:E24"/>
    <mergeCell ref="D25:E25"/>
    <mergeCell ref="D23:E23"/>
    <mergeCell ref="E9:F9"/>
    <mergeCell ref="A11:F11"/>
    <mergeCell ref="C7:D7"/>
    <mergeCell ref="C8:D8"/>
    <mergeCell ref="B12:B13"/>
    <mergeCell ref="D12:F12"/>
    <mergeCell ref="D32:E32"/>
    <mergeCell ref="D29:E29"/>
    <mergeCell ref="D28:E28"/>
    <mergeCell ref="D30:E30"/>
    <mergeCell ref="D26:F26"/>
    <mergeCell ref="D27:E27"/>
    <mergeCell ref="B5:B6"/>
    <mergeCell ref="D13:E13"/>
    <mergeCell ref="C9:D9"/>
    <mergeCell ref="B20:B22"/>
    <mergeCell ref="D18:E18"/>
    <mergeCell ref="D19:E19"/>
    <mergeCell ref="B18:B19"/>
    <mergeCell ref="B14:B16"/>
    <mergeCell ref="D16:E16"/>
    <mergeCell ref="E5:F5"/>
    <mergeCell ref="D33:E33"/>
    <mergeCell ref="E8:F8"/>
    <mergeCell ref="C12:C13"/>
    <mergeCell ref="C6:D6"/>
    <mergeCell ref="E6:F6"/>
    <mergeCell ref="A1:F1"/>
    <mergeCell ref="B2:F2"/>
    <mergeCell ref="C4:D4"/>
    <mergeCell ref="E4:F4"/>
    <mergeCell ref="A3:F3"/>
    <mergeCell ref="C5:D5"/>
    <mergeCell ref="F14:F16"/>
    <mergeCell ref="F18:F23"/>
    <mergeCell ref="D14:E14"/>
    <mergeCell ref="D17:E17"/>
    <mergeCell ref="D22:E22"/>
    <mergeCell ref="D20:E21"/>
    <mergeCell ref="C14:C16"/>
    <mergeCell ref="D15:E15"/>
    <mergeCell ref="E7:F7"/>
  </mergeCells>
  <printOptions/>
  <pageMargins left="0.7086614173228347" right="0.7086614173228347" top="0.7480314960629921" bottom="0.7480314960629921" header="0.31496062992125984" footer="0.31496062992125984"/>
  <pageSetup firstPageNumber="76" useFirstPageNumber="1" horizontalDpi="600" verticalDpi="600" orientation="portrait" paperSize="9" scale="95"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G126"/>
  <sheetViews>
    <sheetView view="pageBreakPreview" zoomScaleSheetLayoutView="100" workbookViewId="0" topLeftCell="A61">
      <selection activeCell="A2" sqref="A2:G3"/>
    </sheetView>
  </sheetViews>
  <sheetFormatPr defaultColWidth="9.00390625" defaultRowHeight="13.5"/>
  <cols>
    <col min="1" max="1" width="12.125" style="376" customWidth="1"/>
    <col min="2" max="2" width="9.00390625" style="376" customWidth="1"/>
    <col min="3" max="3" width="11.25390625" style="376" customWidth="1"/>
    <col min="4" max="4" width="10.125" style="376" customWidth="1"/>
    <col min="5" max="16384" width="9.00390625" style="376" customWidth="1"/>
  </cols>
  <sheetData>
    <row r="1" spans="1:7" ht="17.25">
      <c r="A1" s="374" t="s">
        <v>351</v>
      </c>
      <c r="B1" s="375"/>
      <c r="C1" s="375"/>
      <c r="D1" s="375"/>
      <c r="E1" s="375"/>
      <c r="F1" s="375"/>
      <c r="G1" s="375"/>
    </row>
    <row r="2" spans="1:7" ht="14.25">
      <c r="A2" s="377"/>
      <c r="B2" s="375"/>
      <c r="C2" s="375"/>
      <c r="D2" s="375"/>
      <c r="E2" s="375"/>
      <c r="F2" s="375"/>
      <c r="G2" s="375"/>
    </row>
    <row r="3" spans="1:7" ht="15.75" customHeight="1">
      <c r="A3" s="378" t="s">
        <v>352</v>
      </c>
      <c r="B3" s="375"/>
      <c r="C3" s="375"/>
      <c r="D3" s="375"/>
      <c r="E3" s="375"/>
      <c r="F3" s="375"/>
      <c r="G3" s="375"/>
    </row>
    <row r="4" spans="1:7" ht="13.5">
      <c r="A4" s="379" t="s">
        <v>234</v>
      </c>
      <c r="B4" s="375"/>
      <c r="C4" s="375"/>
      <c r="D4" s="375"/>
      <c r="E4" s="375"/>
      <c r="F4" s="375"/>
      <c r="G4" s="375"/>
    </row>
    <row r="5" spans="1:7" ht="13.5">
      <c r="A5" s="379" t="s">
        <v>235</v>
      </c>
      <c r="B5" s="375"/>
      <c r="C5" s="375"/>
      <c r="D5" s="375"/>
      <c r="E5" s="375"/>
      <c r="F5" s="375"/>
      <c r="G5" s="375"/>
    </row>
    <row r="6" spans="1:7" ht="13.5">
      <c r="A6" s="379" t="s">
        <v>236</v>
      </c>
      <c r="B6" s="375"/>
      <c r="C6" s="375"/>
      <c r="D6" s="375"/>
      <c r="E6" s="375"/>
      <c r="F6" s="375"/>
      <c r="G6" s="375"/>
    </row>
    <row r="7" spans="1:7" ht="13.5">
      <c r="A7" s="379" t="s">
        <v>353</v>
      </c>
      <c r="B7" s="375"/>
      <c r="C7" s="375"/>
      <c r="D7" s="375"/>
      <c r="E7" s="375"/>
      <c r="F7" s="375"/>
      <c r="G7" s="375"/>
    </row>
    <row r="8" spans="1:7" ht="9.75" customHeight="1">
      <c r="A8" s="379"/>
      <c r="B8" s="375"/>
      <c r="C8" s="375"/>
      <c r="D8" s="375"/>
      <c r="E8" s="375"/>
      <c r="F8" s="375"/>
      <c r="G8" s="375"/>
    </row>
    <row r="9" spans="1:7" ht="14.25">
      <c r="A9" s="380" t="s">
        <v>643</v>
      </c>
      <c r="B9" s="380"/>
      <c r="C9" s="380"/>
      <c r="D9" s="380"/>
      <c r="E9" s="380"/>
      <c r="F9" s="380"/>
      <c r="G9" s="380"/>
    </row>
    <row r="10" spans="1:5" ht="17.25" customHeight="1">
      <c r="A10" s="381"/>
      <c r="B10" s="381"/>
      <c r="C10" s="428" t="s">
        <v>237</v>
      </c>
      <c r="D10" s="428" t="s">
        <v>238</v>
      </c>
      <c r="E10" s="428" t="s">
        <v>239</v>
      </c>
    </row>
    <row r="11" spans="1:5" ht="17.25" customHeight="1">
      <c r="A11" s="823" t="s">
        <v>169</v>
      </c>
      <c r="B11" s="427" t="s">
        <v>240</v>
      </c>
      <c r="C11" s="429">
        <v>22520576</v>
      </c>
      <c r="D11" s="429">
        <v>7067714</v>
      </c>
      <c r="E11" s="437">
        <f aca="true" t="shared" si="0" ref="E11:E34">D11/C11*100</f>
        <v>31.383362485932864</v>
      </c>
    </row>
    <row r="12" spans="1:5" ht="17.25" customHeight="1">
      <c r="A12" s="824"/>
      <c r="B12" s="427" t="s">
        <v>241</v>
      </c>
      <c r="C12" s="429">
        <v>190621</v>
      </c>
      <c r="D12" s="429">
        <v>69265</v>
      </c>
      <c r="E12" s="437">
        <f t="shared" si="0"/>
        <v>36.33650017574139</v>
      </c>
    </row>
    <row r="13" spans="1:5" ht="17.25" customHeight="1">
      <c r="A13" s="825"/>
      <c r="B13" s="427" t="s">
        <v>242</v>
      </c>
      <c r="C13" s="429">
        <v>68063</v>
      </c>
      <c r="D13" s="429">
        <v>21682</v>
      </c>
      <c r="E13" s="437">
        <f t="shared" si="0"/>
        <v>31.85578067378752</v>
      </c>
    </row>
    <row r="14" spans="1:5" ht="17.25" customHeight="1">
      <c r="A14" s="823" t="s">
        <v>316</v>
      </c>
      <c r="B14" s="427" t="s">
        <v>240</v>
      </c>
      <c r="C14" s="429">
        <v>22419244</v>
      </c>
      <c r="D14" s="429">
        <v>7169761</v>
      </c>
      <c r="E14" s="437">
        <f t="shared" si="0"/>
        <v>31.980387028215578</v>
      </c>
    </row>
    <row r="15" spans="1:5" ht="17.25" customHeight="1">
      <c r="A15" s="824"/>
      <c r="B15" s="427" t="s">
        <v>241</v>
      </c>
      <c r="C15" s="429">
        <v>190960</v>
      </c>
      <c r="D15" s="429">
        <v>70771</v>
      </c>
      <c r="E15" s="437">
        <f t="shared" si="0"/>
        <v>37.0606409719313</v>
      </c>
    </row>
    <row r="16" spans="1:5" ht="17.25" customHeight="1">
      <c r="A16" s="825"/>
      <c r="B16" s="427" t="s">
        <v>242</v>
      </c>
      <c r="C16" s="429">
        <v>69055</v>
      </c>
      <c r="D16" s="429">
        <v>22041</v>
      </c>
      <c r="E16" s="437">
        <f t="shared" si="0"/>
        <v>31.91803634783868</v>
      </c>
    </row>
    <row r="17" spans="1:5" ht="17.25" customHeight="1">
      <c r="A17" s="823" t="s">
        <v>231</v>
      </c>
      <c r="B17" s="427" t="s">
        <v>240</v>
      </c>
      <c r="C17" s="429">
        <v>22544587</v>
      </c>
      <c r="D17" s="429">
        <v>7362795</v>
      </c>
      <c r="E17" s="437">
        <f t="shared" si="0"/>
        <v>32.65881517368227</v>
      </c>
    </row>
    <row r="18" spans="1:5" ht="17.25" customHeight="1">
      <c r="A18" s="824"/>
      <c r="B18" s="427" t="s">
        <v>241</v>
      </c>
      <c r="C18" s="429">
        <v>193106</v>
      </c>
      <c r="D18" s="429">
        <v>76960</v>
      </c>
      <c r="E18" s="437">
        <f t="shared" si="0"/>
        <v>39.85375907532651</v>
      </c>
    </row>
    <row r="19" spans="1:5" ht="17.25" customHeight="1">
      <c r="A19" s="825"/>
      <c r="B19" s="427" t="s">
        <v>242</v>
      </c>
      <c r="C19" s="429">
        <v>70816</v>
      </c>
      <c r="D19" s="429">
        <v>23409</v>
      </c>
      <c r="E19" s="437">
        <f t="shared" si="0"/>
        <v>33.05608901943064</v>
      </c>
    </row>
    <row r="20" spans="1:5" ht="17.25" customHeight="1">
      <c r="A20" s="823" t="s">
        <v>287</v>
      </c>
      <c r="B20" s="427" t="s">
        <v>240</v>
      </c>
      <c r="C20" s="429">
        <v>22513746</v>
      </c>
      <c r="D20" s="429">
        <v>7593659</v>
      </c>
      <c r="E20" s="437">
        <f t="shared" si="0"/>
        <v>33.72898939163656</v>
      </c>
    </row>
    <row r="21" spans="1:5" ht="17.25" customHeight="1">
      <c r="A21" s="824"/>
      <c r="B21" s="427" t="s">
        <v>241</v>
      </c>
      <c r="C21" s="429">
        <v>194062</v>
      </c>
      <c r="D21" s="429">
        <v>80158</v>
      </c>
      <c r="E21" s="437">
        <f t="shared" si="0"/>
        <v>41.30535602024095</v>
      </c>
    </row>
    <row r="22" spans="1:5" ht="17.25" customHeight="1">
      <c r="A22" s="825"/>
      <c r="B22" s="427" t="s">
        <v>242</v>
      </c>
      <c r="C22" s="429">
        <v>71636</v>
      </c>
      <c r="D22" s="429">
        <v>24641</v>
      </c>
      <c r="E22" s="437">
        <f t="shared" si="0"/>
        <v>34.39750963202859</v>
      </c>
    </row>
    <row r="23" spans="1:5" ht="17.25" customHeight="1">
      <c r="A23" s="823" t="s">
        <v>318</v>
      </c>
      <c r="B23" s="427" t="s">
        <v>240</v>
      </c>
      <c r="C23" s="429">
        <v>22446340</v>
      </c>
      <c r="D23" s="429">
        <v>7690365</v>
      </c>
      <c r="E23" s="437">
        <f t="shared" si="0"/>
        <v>34.26110893802731</v>
      </c>
    </row>
    <row r="24" spans="1:5" ht="17.25" customHeight="1">
      <c r="A24" s="824"/>
      <c r="B24" s="427" t="s">
        <v>241</v>
      </c>
      <c r="C24" s="429">
        <v>194046</v>
      </c>
      <c r="D24" s="429">
        <v>82230</v>
      </c>
      <c r="E24" s="437">
        <f t="shared" si="0"/>
        <v>42.37654989023221</v>
      </c>
    </row>
    <row r="25" spans="1:5" ht="17.25" customHeight="1">
      <c r="A25" s="825"/>
      <c r="B25" s="427" t="s">
        <v>242</v>
      </c>
      <c r="C25" s="429">
        <v>72022</v>
      </c>
      <c r="D25" s="429">
        <v>25711</v>
      </c>
      <c r="E25" s="437">
        <f t="shared" si="0"/>
        <v>35.69881425120102</v>
      </c>
    </row>
    <row r="26" spans="1:5" ht="17.25" customHeight="1">
      <c r="A26" s="823" t="s">
        <v>322</v>
      </c>
      <c r="B26" s="427" t="s">
        <v>240</v>
      </c>
      <c r="C26" s="429">
        <v>22162316</v>
      </c>
      <c r="D26" s="429">
        <v>7835065</v>
      </c>
      <c r="E26" s="437">
        <f t="shared" si="0"/>
        <v>35.35309667094359</v>
      </c>
    </row>
    <row r="27" spans="1:5" ht="17.25" customHeight="1">
      <c r="A27" s="824"/>
      <c r="B27" s="427" t="s">
        <v>241</v>
      </c>
      <c r="C27" s="429">
        <v>191883</v>
      </c>
      <c r="D27" s="429">
        <v>83009</v>
      </c>
      <c r="E27" s="437">
        <f t="shared" si="0"/>
        <v>43.260215860706786</v>
      </c>
    </row>
    <row r="28" spans="1:5" ht="17.25" customHeight="1">
      <c r="A28" s="825"/>
      <c r="B28" s="427" t="s">
        <v>242</v>
      </c>
      <c r="C28" s="429">
        <v>71560</v>
      </c>
      <c r="D28" s="429">
        <v>25855</v>
      </c>
      <c r="E28" s="437">
        <f t="shared" si="0"/>
        <v>36.13051984348799</v>
      </c>
    </row>
    <row r="29" spans="1:5" ht="17.25" customHeight="1">
      <c r="A29" s="823" t="s">
        <v>331</v>
      </c>
      <c r="B29" s="427" t="s">
        <v>240</v>
      </c>
      <c r="C29" s="429">
        <v>21600214</v>
      </c>
      <c r="D29" s="429">
        <v>7837529</v>
      </c>
      <c r="E29" s="437">
        <f t="shared" si="0"/>
        <v>36.284496996187166</v>
      </c>
    </row>
    <row r="30" spans="1:5" ht="17.25" customHeight="1">
      <c r="A30" s="824"/>
      <c r="B30" s="427" t="s">
        <v>241</v>
      </c>
      <c r="C30" s="429">
        <v>187308</v>
      </c>
      <c r="D30" s="429">
        <v>83865</v>
      </c>
      <c r="E30" s="437">
        <f t="shared" si="0"/>
        <v>44.77384842078288</v>
      </c>
    </row>
    <row r="31" spans="1:5" ht="17.25" customHeight="1">
      <c r="A31" s="825"/>
      <c r="B31" s="427" t="s">
        <v>242</v>
      </c>
      <c r="C31" s="429">
        <v>70154</v>
      </c>
      <c r="D31" s="429">
        <v>26395</v>
      </c>
      <c r="E31" s="437">
        <f t="shared" si="0"/>
        <v>37.62436924480429</v>
      </c>
    </row>
    <row r="32" spans="1:6" ht="17.25" customHeight="1">
      <c r="A32" s="823" t="s">
        <v>411</v>
      </c>
      <c r="B32" s="427" t="s">
        <v>240</v>
      </c>
      <c r="C32" s="429">
        <v>20648144</v>
      </c>
      <c r="D32" s="429">
        <v>7552670</v>
      </c>
      <c r="E32" s="437">
        <f>D32/C32*100</f>
        <v>36.57796071162619</v>
      </c>
      <c r="F32" s="822"/>
    </row>
    <row r="33" spans="1:6" ht="17.25" customHeight="1">
      <c r="A33" s="824"/>
      <c r="B33" s="427" t="s">
        <v>241</v>
      </c>
      <c r="C33" s="429">
        <v>179102</v>
      </c>
      <c r="D33" s="429">
        <v>80701</v>
      </c>
      <c r="E33" s="437">
        <f>D33/C33*100</f>
        <v>45.05868164509609</v>
      </c>
      <c r="F33" s="822"/>
    </row>
    <row r="34" spans="1:5" ht="17.25" customHeight="1">
      <c r="A34" s="825"/>
      <c r="B34" s="427" t="s">
        <v>242</v>
      </c>
      <c r="C34" s="429">
        <v>67396</v>
      </c>
      <c r="D34" s="429">
        <v>25532</v>
      </c>
      <c r="E34" s="437">
        <f t="shared" si="0"/>
        <v>37.883553920113954</v>
      </c>
    </row>
    <row r="35" spans="1:6" ht="17.25" customHeight="1">
      <c r="A35" s="823" t="s">
        <v>578</v>
      </c>
      <c r="B35" s="427" t="s">
        <v>240</v>
      </c>
      <c r="C35" s="429">
        <v>19852130</v>
      </c>
      <c r="D35" s="429">
        <v>7377312</v>
      </c>
      <c r="E35" s="437">
        <v>37.1613121614658</v>
      </c>
      <c r="F35" s="822" t="s">
        <v>600</v>
      </c>
    </row>
    <row r="36" spans="1:6" ht="17.25" customHeight="1">
      <c r="A36" s="824"/>
      <c r="B36" s="427" t="s">
        <v>241</v>
      </c>
      <c r="C36" s="429">
        <v>172774</v>
      </c>
      <c r="D36" s="429">
        <v>78819</v>
      </c>
      <c r="E36" s="437">
        <v>45.619711299153806</v>
      </c>
      <c r="F36" s="822"/>
    </row>
    <row r="37" spans="1:5" ht="17.25" customHeight="1">
      <c r="A37" s="825"/>
      <c r="B37" s="427" t="s">
        <v>242</v>
      </c>
      <c r="C37" s="429">
        <v>65233</v>
      </c>
      <c r="D37" s="429">
        <v>25620</v>
      </c>
      <c r="E37" s="437">
        <v>39.3</v>
      </c>
    </row>
    <row r="38" spans="1:5" ht="17.25" customHeight="1">
      <c r="A38" s="382"/>
      <c r="B38" s="383"/>
      <c r="C38" s="384"/>
      <c r="D38" s="384"/>
      <c r="E38" s="438" t="s">
        <v>622</v>
      </c>
    </row>
    <row r="39" spans="1:5" ht="17.25" customHeight="1">
      <c r="A39" s="380" t="s">
        <v>623</v>
      </c>
      <c r="E39" s="439"/>
    </row>
    <row r="40" spans="1:5" ht="18.75" customHeight="1">
      <c r="A40" s="430" t="s">
        <v>166</v>
      </c>
      <c r="B40" s="430" t="s">
        <v>243</v>
      </c>
      <c r="C40" s="430" t="s">
        <v>237</v>
      </c>
      <c r="D40" s="430" t="s">
        <v>238</v>
      </c>
      <c r="E40" s="440" t="s">
        <v>239</v>
      </c>
    </row>
    <row r="41" spans="1:5" ht="18.75" customHeight="1">
      <c r="A41" s="588" t="s">
        <v>244</v>
      </c>
      <c r="B41" s="431" t="s">
        <v>354</v>
      </c>
      <c r="C41" s="429">
        <v>2430</v>
      </c>
      <c r="D41" s="429">
        <v>337</v>
      </c>
      <c r="E41" s="437">
        <v>13.9</v>
      </c>
    </row>
    <row r="42" spans="1:5" ht="18.75" customHeight="1">
      <c r="A42" s="589"/>
      <c r="B42" s="431" t="s">
        <v>355</v>
      </c>
      <c r="C42" s="429">
        <v>2602</v>
      </c>
      <c r="D42" s="429">
        <v>430</v>
      </c>
      <c r="E42" s="437">
        <v>16.5</v>
      </c>
    </row>
    <row r="43" spans="1:5" ht="18.75" customHeight="1">
      <c r="A43" s="589"/>
      <c r="B43" s="431" t="s">
        <v>356</v>
      </c>
      <c r="C43" s="429">
        <v>2070</v>
      </c>
      <c r="D43" s="429">
        <v>374</v>
      </c>
      <c r="E43" s="437">
        <v>18.1</v>
      </c>
    </row>
    <row r="44" spans="1:5" ht="18.75" customHeight="1">
      <c r="A44" s="589"/>
      <c r="B44" s="431" t="s">
        <v>357</v>
      </c>
      <c r="C44" s="429">
        <v>2119</v>
      </c>
      <c r="D44" s="429">
        <v>514</v>
      </c>
      <c r="E44" s="437">
        <v>24.3</v>
      </c>
    </row>
    <row r="45" spans="1:5" ht="18.75" customHeight="1">
      <c r="A45" s="589"/>
      <c r="B45" s="431" t="s">
        <v>358</v>
      </c>
      <c r="C45" s="429">
        <v>3100</v>
      </c>
      <c r="D45" s="429">
        <v>906</v>
      </c>
      <c r="E45" s="437">
        <v>29.2</v>
      </c>
    </row>
    <row r="46" spans="1:5" ht="18.75" customHeight="1">
      <c r="A46" s="589"/>
      <c r="B46" s="431" t="s">
        <v>359</v>
      </c>
      <c r="C46" s="429">
        <v>7867</v>
      </c>
      <c r="D46" s="429">
        <v>3093</v>
      </c>
      <c r="E46" s="437">
        <v>39.3</v>
      </c>
    </row>
    <row r="47" spans="1:5" ht="18.75" customHeight="1">
      <c r="A47" s="590"/>
      <c r="B47" s="431" t="s">
        <v>360</v>
      </c>
      <c r="C47" s="429">
        <v>9352</v>
      </c>
      <c r="D47" s="429">
        <v>4305</v>
      </c>
      <c r="E47" s="437">
        <v>46</v>
      </c>
    </row>
    <row r="48" spans="1:5" ht="18.75" customHeight="1">
      <c r="A48" s="588" t="s">
        <v>245</v>
      </c>
      <c r="B48" s="431" t="s">
        <v>361</v>
      </c>
      <c r="C48" s="429">
        <v>12321</v>
      </c>
      <c r="D48" s="429">
        <v>2561</v>
      </c>
      <c r="E48" s="437">
        <v>20.785650515380244</v>
      </c>
    </row>
    <row r="49" spans="1:5" ht="18.75" customHeight="1">
      <c r="A49" s="589"/>
      <c r="B49" s="431" t="s">
        <v>362</v>
      </c>
      <c r="C49" s="429">
        <v>17219</v>
      </c>
      <c r="D49" s="429">
        <v>7398</v>
      </c>
      <c r="E49" s="437">
        <v>42.96416748940125</v>
      </c>
    </row>
    <row r="50" spans="1:5" ht="18.75" customHeight="1">
      <c r="A50" s="589"/>
      <c r="B50" s="431" t="s">
        <v>363</v>
      </c>
      <c r="C50" s="429">
        <v>29540</v>
      </c>
      <c r="D50" s="429">
        <v>9959</v>
      </c>
      <c r="E50" s="437">
        <v>33.7136086662153</v>
      </c>
    </row>
    <row r="51" spans="1:5" ht="18.75" customHeight="1">
      <c r="A51" s="588" t="s">
        <v>246</v>
      </c>
      <c r="B51" s="431" t="s">
        <v>354</v>
      </c>
      <c r="C51" s="429">
        <v>2046</v>
      </c>
      <c r="D51" s="429">
        <v>482</v>
      </c>
      <c r="E51" s="437">
        <v>23.6</v>
      </c>
    </row>
    <row r="52" spans="1:5" ht="18.75" customHeight="1">
      <c r="A52" s="589"/>
      <c r="B52" s="431" t="s">
        <v>355</v>
      </c>
      <c r="C52" s="429">
        <v>2312</v>
      </c>
      <c r="D52" s="429">
        <v>570</v>
      </c>
      <c r="E52" s="437">
        <v>24.7</v>
      </c>
    </row>
    <row r="53" spans="1:5" ht="18.75" customHeight="1">
      <c r="A53" s="589"/>
      <c r="B53" s="431" t="s">
        <v>320</v>
      </c>
      <c r="C53" s="429">
        <v>2021</v>
      </c>
      <c r="D53" s="429">
        <v>576</v>
      </c>
      <c r="E53" s="437">
        <v>28.5</v>
      </c>
    </row>
    <row r="54" spans="1:5" ht="18.75" customHeight="1">
      <c r="A54" s="589"/>
      <c r="B54" s="431" t="s">
        <v>357</v>
      </c>
      <c r="C54" s="429">
        <v>2475</v>
      </c>
      <c r="D54" s="429">
        <v>838</v>
      </c>
      <c r="E54" s="437">
        <v>33.9</v>
      </c>
    </row>
    <row r="55" spans="1:5" ht="18.75" customHeight="1">
      <c r="A55" s="589"/>
      <c r="B55" s="431" t="s">
        <v>358</v>
      </c>
      <c r="C55" s="429">
        <v>4628</v>
      </c>
      <c r="D55" s="429">
        <v>1928</v>
      </c>
      <c r="E55" s="437">
        <v>41.7</v>
      </c>
    </row>
    <row r="56" spans="1:5" ht="18.75" customHeight="1">
      <c r="A56" s="589"/>
      <c r="B56" s="431" t="s">
        <v>359</v>
      </c>
      <c r="C56" s="429">
        <v>10569</v>
      </c>
      <c r="D56" s="429">
        <v>5061</v>
      </c>
      <c r="E56" s="437">
        <v>47.9</v>
      </c>
    </row>
    <row r="57" spans="1:5" ht="18.75" customHeight="1">
      <c r="A57" s="590"/>
      <c r="B57" s="431" t="s">
        <v>364</v>
      </c>
      <c r="C57" s="429">
        <v>11642</v>
      </c>
      <c r="D57" s="429">
        <v>6206</v>
      </c>
      <c r="E57" s="437">
        <v>53.3</v>
      </c>
    </row>
    <row r="58" spans="1:5" ht="18.75" customHeight="1">
      <c r="A58" s="588" t="s">
        <v>247</v>
      </c>
      <c r="B58" s="431" t="s">
        <v>361</v>
      </c>
      <c r="C58" s="429">
        <v>13482</v>
      </c>
      <c r="D58" s="429">
        <v>4394</v>
      </c>
      <c r="E58" s="437">
        <v>32.591603619641</v>
      </c>
    </row>
    <row r="59" spans="1:5" ht="18.75" customHeight="1">
      <c r="A59" s="589"/>
      <c r="B59" s="431" t="s">
        <v>365</v>
      </c>
      <c r="C59" s="429">
        <v>22211</v>
      </c>
      <c r="D59" s="429">
        <v>11267</v>
      </c>
      <c r="E59" s="437">
        <v>50.72711719418306</v>
      </c>
    </row>
    <row r="60" spans="1:5" ht="18.75" customHeight="1" thickBot="1">
      <c r="A60" s="589"/>
      <c r="B60" s="433" t="s">
        <v>321</v>
      </c>
      <c r="C60" s="434">
        <v>35693</v>
      </c>
      <c r="D60" s="434">
        <v>15661</v>
      </c>
      <c r="E60" s="441">
        <v>43.87695066259491</v>
      </c>
    </row>
    <row r="61" spans="1:5" ht="18.75" customHeight="1" thickTop="1">
      <c r="A61" s="826" t="s">
        <v>4</v>
      </c>
      <c r="B61" s="432" t="s">
        <v>366</v>
      </c>
      <c r="C61" s="435">
        <f aca="true" t="shared" si="1" ref="C61:D63">C48+C58</f>
        <v>25803</v>
      </c>
      <c r="D61" s="435">
        <f t="shared" si="1"/>
        <v>6955</v>
      </c>
      <c r="E61" s="442">
        <f>D61/C61*100</f>
        <v>26.954230128279654</v>
      </c>
    </row>
    <row r="62" spans="1:5" ht="18.75" customHeight="1">
      <c r="A62" s="589"/>
      <c r="B62" s="431" t="s">
        <v>367</v>
      </c>
      <c r="C62" s="429">
        <f t="shared" si="1"/>
        <v>39430</v>
      </c>
      <c r="D62" s="429">
        <f t="shared" si="1"/>
        <v>18665</v>
      </c>
      <c r="E62" s="437">
        <f>D62/C62*100</f>
        <v>47.3370530053259</v>
      </c>
    </row>
    <row r="63" spans="1:5" ht="18.75" customHeight="1">
      <c r="A63" s="590"/>
      <c r="B63" s="431" t="s">
        <v>321</v>
      </c>
      <c r="C63" s="429">
        <f t="shared" si="1"/>
        <v>65233</v>
      </c>
      <c r="D63" s="429">
        <f t="shared" si="1"/>
        <v>25620</v>
      </c>
      <c r="E63" s="437">
        <f>D63/C63*100</f>
        <v>39.27460027899989</v>
      </c>
    </row>
    <row r="64" ht="18.75" customHeight="1">
      <c r="A64" s="401" t="s">
        <v>624</v>
      </c>
    </row>
    <row r="65" ht="19.5" customHeight="1">
      <c r="A65" s="380" t="s">
        <v>368</v>
      </c>
    </row>
    <row r="66" ht="13.5">
      <c r="A66" s="379" t="s">
        <v>248</v>
      </c>
    </row>
    <row r="67" ht="13.5">
      <c r="A67" s="387" t="s">
        <v>249</v>
      </c>
    </row>
    <row r="68" ht="13.5">
      <c r="A68" s="387" t="s">
        <v>250</v>
      </c>
    </row>
    <row r="69" ht="9.75" customHeight="1">
      <c r="A69" s="387"/>
    </row>
    <row r="70" spans="1:6" ht="19.5" customHeight="1">
      <c r="A70" s="380" t="s">
        <v>625</v>
      </c>
      <c r="B70" s="380"/>
      <c r="C70" s="380"/>
      <c r="D70" s="380"/>
      <c r="E70" s="380"/>
      <c r="F70" s="380"/>
    </row>
    <row r="71" spans="1:5" ht="19.5" customHeight="1">
      <c r="A71" s="381"/>
      <c r="B71" s="381"/>
      <c r="C71" s="429" t="s">
        <v>237</v>
      </c>
      <c r="D71" s="429" t="s">
        <v>251</v>
      </c>
      <c r="E71" s="429" t="s">
        <v>252</v>
      </c>
    </row>
    <row r="72" spans="1:5" ht="19.5" customHeight="1">
      <c r="A72" s="823" t="s">
        <v>169</v>
      </c>
      <c r="B72" s="429" t="s">
        <v>240</v>
      </c>
      <c r="C72" s="429">
        <v>988597</v>
      </c>
      <c r="D72" s="429">
        <v>211988</v>
      </c>
      <c r="E72" s="437">
        <f aca="true" t="shared" si="2" ref="E72:E89">D72/C72*100</f>
        <v>21.44331815694363</v>
      </c>
    </row>
    <row r="73" spans="1:5" ht="19.5" customHeight="1">
      <c r="A73" s="824"/>
      <c r="B73" s="429" t="s">
        <v>241</v>
      </c>
      <c r="C73" s="429">
        <v>8738</v>
      </c>
      <c r="D73" s="429">
        <v>2338</v>
      </c>
      <c r="E73" s="437">
        <f t="shared" si="2"/>
        <v>26.756694895857176</v>
      </c>
    </row>
    <row r="74" spans="1:5" ht="19.5" customHeight="1">
      <c r="A74" s="825"/>
      <c r="B74" s="429" t="s">
        <v>242</v>
      </c>
      <c r="C74" s="429">
        <v>2585</v>
      </c>
      <c r="D74" s="429">
        <v>248</v>
      </c>
      <c r="E74" s="437">
        <f t="shared" si="2"/>
        <v>9.593810444874276</v>
      </c>
    </row>
    <row r="75" spans="1:5" ht="19.5" customHeight="1">
      <c r="A75" s="823" t="s">
        <v>184</v>
      </c>
      <c r="B75" s="429" t="s">
        <v>240</v>
      </c>
      <c r="C75" s="429">
        <v>953535</v>
      </c>
      <c r="D75" s="429">
        <v>198778</v>
      </c>
      <c r="E75" s="437">
        <f t="shared" si="2"/>
        <v>20.846429339248164</v>
      </c>
    </row>
    <row r="76" spans="1:5" ht="19.5" customHeight="1">
      <c r="A76" s="824"/>
      <c r="B76" s="429" t="s">
        <v>241</v>
      </c>
      <c r="C76" s="429">
        <v>8612</v>
      </c>
      <c r="D76" s="429">
        <v>2465</v>
      </c>
      <c r="E76" s="437">
        <f t="shared" si="2"/>
        <v>28.622851834649328</v>
      </c>
    </row>
    <row r="77" spans="1:5" ht="19.5" customHeight="1">
      <c r="A77" s="825"/>
      <c r="B77" s="429" t="s">
        <v>242</v>
      </c>
      <c r="C77" s="429">
        <v>2463</v>
      </c>
      <c r="D77" s="429">
        <v>213</v>
      </c>
      <c r="E77" s="437">
        <f t="shared" si="2"/>
        <v>8.647990255785627</v>
      </c>
    </row>
    <row r="78" spans="1:5" ht="19.5" customHeight="1">
      <c r="A78" s="823" t="s">
        <v>231</v>
      </c>
      <c r="B78" s="429" t="s">
        <v>240</v>
      </c>
      <c r="C78" s="429">
        <v>945245</v>
      </c>
      <c r="D78" s="429">
        <v>204872</v>
      </c>
      <c r="E78" s="437">
        <f t="shared" si="2"/>
        <v>21.673957545398284</v>
      </c>
    </row>
    <row r="79" spans="1:5" ht="19.5" customHeight="1">
      <c r="A79" s="824"/>
      <c r="B79" s="429" t="s">
        <v>241</v>
      </c>
      <c r="C79" s="429">
        <v>8837</v>
      </c>
      <c r="D79" s="429">
        <v>3294</v>
      </c>
      <c r="E79" s="437">
        <f t="shared" si="2"/>
        <v>37.275093357474255</v>
      </c>
    </row>
    <row r="80" spans="1:5" ht="19.5" customHeight="1">
      <c r="A80" s="825"/>
      <c r="B80" s="429" t="s">
        <v>242</v>
      </c>
      <c r="C80" s="429">
        <v>2523</v>
      </c>
      <c r="D80" s="429">
        <v>432</v>
      </c>
      <c r="E80" s="437">
        <f t="shared" si="2"/>
        <v>17.122473246135552</v>
      </c>
    </row>
    <row r="81" spans="1:5" ht="19.5" customHeight="1">
      <c r="A81" s="823" t="s">
        <v>287</v>
      </c>
      <c r="B81" s="429" t="s">
        <v>240</v>
      </c>
      <c r="C81" s="429">
        <v>932794</v>
      </c>
      <c r="D81" s="429">
        <v>216693</v>
      </c>
      <c r="E81" s="437">
        <f t="shared" si="2"/>
        <v>23.230531071168983</v>
      </c>
    </row>
    <row r="82" spans="1:5" ht="19.5" customHeight="1">
      <c r="A82" s="824"/>
      <c r="B82" s="429" t="s">
        <v>241</v>
      </c>
      <c r="C82" s="429">
        <v>8758</v>
      </c>
      <c r="D82" s="429">
        <v>3875</v>
      </c>
      <c r="E82" s="437">
        <f t="shared" si="2"/>
        <v>44.245261475222655</v>
      </c>
    </row>
    <row r="83" spans="1:5" ht="19.5" customHeight="1">
      <c r="A83" s="825"/>
      <c r="B83" s="429" t="s">
        <v>242</v>
      </c>
      <c r="C83" s="429">
        <v>2623</v>
      </c>
      <c r="D83" s="429">
        <v>645</v>
      </c>
      <c r="E83" s="437">
        <f t="shared" si="2"/>
        <v>24.59016393442623</v>
      </c>
    </row>
    <row r="84" spans="1:5" ht="19.5" customHeight="1">
      <c r="A84" s="823" t="s">
        <v>318</v>
      </c>
      <c r="B84" s="429" t="s">
        <v>240</v>
      </c>
      <c r="C84" s="429">
        <v>901816</v>
      </c>
      <c r="D84" s="429">
        <v>213373</v>
      </c>
      <c r="E84" s="437">
        <f t="shared" si="2"/>
        <v>23.660369742830024</v>
      </c>
    </row>
    <row r="85" spans="1:5" ht="19.5" customHeight="1">
      <c r="A85" s="824"/>
      <c r="B85" s="429" t="s">
        <v>241</v>
      </c>
      <c r="C85" s="429">
        <v>8551</v>
      </c>
      <c r="D85" s="429">
        <v>4023</v>
      </c>
      <c r="E85" s="437">
        <f t="shared" si="2"/>
        <v>47.047128990761315</v>
      </c>
    </row>
    <row r="86" spans="1:5" ht="19.5" customHeight="1">
      <c r="A86" s="825"/>
      <c r="B86" s="429" t="s">
        <v>242</v>
      </c>
      <c r="C86" s="429">
        <v>2690</v>
      </c>
      <c r="D86" s="429">
        <v>588</v>
      </c>
      <c r="E86" s="437">
        <f t="shared" si="2"/>
        <v>21.858736059479554</v>
      </c>
    </row>
    <row r="87" spans="1:5" ht="19.5" customHeight="1">
      <c r="A87" s="823" t="s">
        <v>322</v>
      </c>
      <c r="B87" s="429" t="s">
        <v>240</v>
      </c>
      <c r="C87" s="429">
        <v>907695</v>
      </c>
      <c r="D87" s="429">
        <v>221056</v>
      </c>
      <c r="E87" s="437">
        <f t="shared" si="2"/>
        <v>24.35355488352365</v>
      </c>
    </row>
    <row r="88" spans="1:5" ht="19.5" customHeight="1">
      <c r="A88" s="824"/>
      <c r="B88" s="429" t="s">
        <v>241</v>
      </c>
      <c r="C88" s="429">
        <v>8491</v>
      </c>
      <c r="D88" s="429">
        <v>4441</v>
      </c>
      <c r="E88" s="437">
        <f t="shared" si="2"/>
        <v>52.30243787539748</v>
      </c>
    </row>
    <row r="89" spans="1:5" ht="19.5" customHeight="1">
      <c r="A89" s="825"/>
      <c r="B89" s="429" t="s">
        <v>242</v>
      </c>
      <c r="C89" s="429">
        <v>2678</v>
      </c>
      <c r="D89" s="429">
        <v>803</v>
      </c>
      <c r="E89" s="437">
        <f t="shared" si="2"/>
        <v>29.985063480209114</v>
      </c>
    </row>
    <row r="90" spans="1:5" ht="19.5" customHeight="1">
      <c r="A90" s="823" t="s">
        <v>331</v>
      </c>
      <c r="B90" s="429" t="s">
        <v>240</v>
      </c>
      <c r="C90" s="429">
        <v>960249</v>
      </c>
      <c r="D90" s="429">
        <v>193885</v>
      </c>
      <c r="E90" s="437">
        <v>20.191117095669977</v>
      </c>
    </row>
    <row r="91" spans="1:5" ht="19.5" customHeight="1">
      <c r="A91" s="824"/>
      <c r="B91" s="429" t="s">
        <v>241</v>
      </c>
      <c r="C91" s="429">
        <v>8597</v>
      </c>
      <c r="D91" s="429">
        <v>4704</v>
      </c>
      <c r="E91" s="437">
        <v>54.71676166104456</v>
      </c>
    </row>
    <row r="92" spans="1:5" ht="19.5" customHeight="1">
      <c r="A92" s="825"/>
      <c r="B92" s="429" t="s">
        <v>242</v>
      </c>
      <c r="C92" s="429">
        <v>2720</v>
      </c>
      <c r="D92" s="429">
        <v>830</v>
      </c>
      <c r="E92" s="437">
        <v>30.514705882352942</v>
      </c>
    </row>
    <row r="93" spans="1:6" ht="19.5" customHeight="1">
      <c r="A93" s="823" t="s">
        <v>411</v>
      </c>
      <c r="B93" s="429" t="s">
        <v>240</v>
      </c>
      <c r="C93" s="429">
        <v>867313</v>
      </c>
      <c r="D93" s="429">
        <v>228261</v>
      </c>
      <c r="E93" s="437">
        <v>26.318180403153185</v>
      </c>
      <c r="F93" s="822"/>
    </row>
    <row r="94" spans="1:6" ht="19.5" customHeight="1">
      <c r="A94" s="824"/>
      <c r="B94" s="429" t="s">
        <v>241</v>
      </c>
      <c r="C94" s="429">
        <v>8323</v>
      </c>
      <c r="D94" s="429">
        <v>4728</v>
      </c>
      <c r="E94" s="437">
        <v>56.806439985582124</v>
      </c>
      <c r="F94" s="822"/>
    </row>
    <row r="95" spans="1:5" ht="19.5" customHeight="1">
      <c r="A95" s="825"/>
      <c r="B95" s="429" t="s">
        <v>242</v>
      </c>
      <c r="C95" s="429">
        <v>2642</v>
      </c>
      <c r="D95" s="429">
        <v>792</v>
      </c>
      <c r="E95" s="437">
        <v>29.977289931869795</v>
      </c>
    </row>
    <row r="96" spans="1:6" ht="19.5" customHeight="1">
      <c r="A96" s="823" t="s">
        <v>578</v>
      </c>
      <c r="B96" s="429" t="s">
        <v>240</v>
      </c>
      <c r="C96" s="429">
        <v>858707</v>
      </c>
      <c r="D96" s="429">
        <v>231073</v>
      </c>
      <c r="E96" s="437">
        <v>26.90941147562556</v>
      </c>
      <c r="F96" s="822" t="s">
        <v>600</v>
      </c>
    </row>
    <row r="97" spans="1:6" ht="19.5" customHeight="1">
      <c r="A97" s="824"/>
      <c r="B97" s="429" t="s">
        <v>241</v>
      </c>
      <c r="C97" s="429">
        <v>8154</v>
      </c>
      <c r="D97" s="429">
        <v>4628</v>
      </c>
      <c r="E97" s="437">
        <v>56.75741967132696</v>
      </c>
      <c r="F97" s="822"/>
    </row>
    <row r="98" spans="1:5" ht="19.5" customHeight="1">
      <c r="A98" s="825"/>
      <c r="B98" s="429" t="s">
        <v>242</v>
      </c>
      <c r="C98" s="429">
        <v>2599</v>
      </c>
      <c r="D98" s="429">
        <v>875</v>
      </c>
      <c r="E98" s="437">
        <v>33.66679492112351</v>
      </c>
    </row>
    <row r="99" spans="5:6" ht="13.5">
      <c r="E99" s="436" t="s">
        <v>622</v>
      </c>
      <c r="F99" s="383"/>
    </row>
    <row r="100" ht="19.5" customHeight="1">
      <c r="A100" s="380" t="s">
        <v>626</v>
      </c>
    </row>
    <row r="101" spans="1:6" ht="19.5" customHeight="1">
      <c r="A101" s="386"/>
      <c r="B101" s="385" t="s">
        <v>237</v>
      </c>
      <c r="C101" s="385" t="s">
        <v>253</v>
      </c>
      <c r="D101" s="385" t="s">
        <v>254</v>
      </c>
      <c r="E101" s="385" t="s">
        <v>251</v>
      </c>
      <c r="F101" s="385" t="s">
        <v>252</v>
      </c>
    </row>
    <row r="102" spans="1:6" ht="19.5" customHeight="1">
      <c r="A102" s="429" t="s">
        <v>255</v>
      </c>
      <c r="B102" s="429">
        <v>2029</v>
      </c>
      <c r="C102" s="429">
        <v>807</v>
      </c>
      <c r="D102" s="437">
        <f>C102/B102*100</f>
        <v>39.7732873336619</v>
      </c>
      <c r="E102" s="429">
        <v>807</v>
      </c>
      <c r="F102" s="437">
        <f>E102/B102*100</f>
        <v>39.7732873336619</v>
      </c>
    </row>
    <row r="103" spans="1:6" ht="19.5" customHeight="1">
      <c r="A103" s="434" t="s">
        <v>256</v>
      </c>
      <c r="B103" s="429">
        <v>570</v>
      </c>
      <c r="C103" s="429">
        <v>160</v>
      </c>
      <c r="D103" s="437">
        <f>C103/B103*100</f>
        <v>28.07017543859649</v>
      </c>
      <c r="E103" s="429">
        <v>68</v>
      </c>
      <c r="F103" s="437">
        <f>E103/B103*100</f>
        <v>11.929824561403509</v>
      </c>
    </row>
    <row r="104" spans="1:6" ht="19.5" customHeight="1">
      <c r="A104" s="429" t="s">
        <v>4</v>
      </c>
      <c r="B104" s="429">
        <f>SUM(B102:B103)</f>
        <v>2599</v>
      </c>
      <c r="C104" s="429">
        <f>SUM(C102:C103)</f>
        <v>967</v>
      </c>
      <c r="D104" s="437">
        <f>C104/B104*100</f>
        <v>37.20661792997307</v>
      </c>
      <c r="E104" s="429">
        <f>SUM(E102:E103)</f>
        <v>875</v>
      </c>
      <c r="F104" s="437">
        <f>E104/B104*100</f>
        <v>33.66679492112351</v>
      </c>
    </row>
    <row r="105" spans="1:2" ht="15" customHeight="1">
      <c r="A105" s="444" t="s">
        <v>627</v>
      </c>
      <c r="B105" s="502"/>
    </row>
    <row r="106" spans="1:2" ht="15" customHeight="1">
      <c r="A106" s="443" t="s">
        <v>257</v>
      </c>
      <c r="B106" s="383"/>
    </row>
    <row r="107" ht="15" customHeight="1">
      <c r="A107" s="443" t="s">
        <v>628</v>
      </c>
    </row>
    <row r="108" ht="15" customHeight="1">
      <c r="A108" s="443" t="s">
        <v>629</v>
      </c>
    </row>
    <row r="109" ht="15" customHeight="1">
      <c r="A109" s="443" t="s">
        <v>277</v>
      </c>
    </row>
    <row r="111" ht="19.5" customHeight="1">
      <c r="A111" s="380" t="s">
        <v>258</v>
      </c>
    </row>
    <row r="112" spans="1:6" ht="19.5" customHeight="1">
      <c r="A112" s="842" t="s">
        <v>259</v>
      </c>
      <c r="B112" s="827" t="s">
        <v>260</v>
      </c>
      <c r="C112" s="828"/>
      <c r="D112" s="844" t="s">
        <v>261</v>
      </c>
      <c r="E112" s="827" t="s">
        <v>67</v>
      </c>
      <c r="F112" s="828"/>
    </row>
    <row r="113" spans="1:6" ht="19.5" customHeight="1">
      <c r="A113" s="843"/>
      <c r="B113" s="829" t="s">
        <v>262</v>
      </c>
      <c r="C113" s="830"/>
      <c r="D113" s="845"/>
      <c r="E113" s="388" t="s">
        <v>263</v>
      </c>
      <c r="F113" s="386" t="s">
        <v>264</v>
      </c>
    </row>
    <row r="114" spans="1:6" ht="19.5" customHeight="1">
      <c r="A114" s="389" t="s">
        <v>265</v>
      </c>
      <c r="B114" s="834" t="s">
        <v>630</v>
      </c>
      <c r="C114" s="828"/>
      <c r="D114" s="390"/>
      <c r="E114" s="831" t="s">
        <v>266</v>
      </c>
      <c r="F114" s="835" t="s">
        <v>267</v>
      </c>
    </row>
    <row r="115" spans="1:6" ht="19.5" customHeight="1">
      <c r="A115" s="391" t="s">
        <v>268</v>
      </c>
      <c r="B115" s="838" t="s">
        <v>631</v>
      </c>
      <c r="C115" s="839"/>
      <c r="D115" s="385" t="s">
        <v>588</v>
      </c>
      <c r="E115" s="833"/>
      <c r="F115" s="836"/>
    </row>
    <row r="116" spans="1:6" ht="19.5" customHeight="1">
      <c r="A116" s="392" t="s">
        <v>269</v>
      </c>
      <c r="B116" s="840"/>
      <c r="C116" s="841"/>
      <c r="D116" s="385" t="s">
        <v>369</v>
      </c>
      <c r="E116" s="393"/>
      <c r="F116" s="837"/>
    </row>
    <row r="117" spans="1:6" ht="19.5" customHeight="1">
      <c r="A117" s="831" t="s">
        <v>270</v>
      </c>
      <c r="B117" s="834" t="s">
        <v>632</v>
      </c>
      <c r="C117" s="828"/>
      <c r="D117" s="394"/>
      <c r="E117" s="831" t="s">
        <v>266</v>
      </c>
      <c r="F117" s="835" t="s">
        <v>267</v>
      </c>
    </row>
    <row r="118" spans="1:6" ht="19.5" customHeight="1">
      <c r="A118" s="832"/>
      <c r="B118" s="838" t="s">
        <v>633</v>
      </c>
      <c r="C118" s="839"/>
      <c r="D118" s="385" t="s">
        <v>588</v>
      </c>
      <c r="E118" s="833"/>
      <c r="F118" s="836"/>
    </row>
    <row r="119" spans="1:6" ht="19.5" customHeight="1">
      <c r="A119" s="832"/>
      <c r="B119" s="840"/>
      <c r="C119" s="841"/>
      <c r="D119" s="385" t="s">
        <v>589</v>
      </c>
      <c r="E119" s="395"/>
      <c r="F119" s="836"/>
    </row>
    <row r="120" spans="1:6" ht="19.5" customHeight="1">
      <c r="A120" s="833"/>
      <c r="B120" s="834" t="s">
        <v>631</v>
      </c>
      <c r="C120" s="828"/>
      <c r="D120" s="394"/>
      <c r="E120" s="393"/>
      <c r="F120" s="837"/>
    </row>
    <row r="121" ht="15" customHeight="1">
      <c r="A121" s="382" t="s">
        <v>590</v>
      </c>
    </row>
    <row r="122" ht="15" customHeight="1">
      <c r="A122" s="382" t="s">
        <v>271</v>
      </c>
    </row>
    <row r="123" ht="15" customHeight="1">
      <c r="A123" s="382" t="s">
        <v>272</v>
      </c>
    </row>
    <row r="124" ht="15" customHeight="1">
      <c r="A124" s="382" t="s">
        <v>273</v>
      </c>
    </row>
    <row r="125" ht="15" customHeight="1">
      <c r="A125" s="382" t="s">
        <v>274</v>
      </c>
    </row>
    <row r="126" ht="15" customHeight="1">
      <c r="A126" s="396" t="s">
        <v>275</v>
      </c>
    </row>
  </sheetData>
  <sheetProtection/>
  <mergeCells count="42">
    <mergeCell ref="F35:F36"/>
    <mergeCell ref="A96:A98"/>
    <mergeCell ref="F96:F97"/>
    <mergeCell ref="B114:C114"/>
    <mergeCell ref="E114:E115"/>
    <mergeCell ref="F114:F116"/>
    <mergeCell ref="B115:C116"/>
    <mergeCell ref="A112:A113"/>
    <mergeCell ref="B112:C112"/>
    <mergeCell ref="D112:D113"/>
    <mergeCell ref="A117:A120"/>
    <mergeCell ref="B117:C117"/>
    <mergeCell ref="E117:E118"/>
    <mergeCell ref="F117:F120"/>
    <mergeCell ref="B118:C119"/>
    <mergeCell ref="B120:C120"/>
    <mergeCell ref="E112:F112"/>
    <mergeCell ref="B113:C113"/>
    <mergeCell ref="A93:A95"/>
    <mergeCell ref="A75:A77"/>
    <mergeCell ref="A78:A80"/>
    <mergeCell ref="A81:A83"/>
    <mergeCell ref="A84:A86"/>
    <mergeCell ref="A87:A89"/>
    <mergeCell ref="A90:A92"/>
    <mergeCell ref="A48:A50"/>
    <mergeCell ref="A51:A57"/>
    <mergeCell ref="A58:A60"/>
    <mergeCell ref="A61:A63"/>
    <mergeCell ref="A32:A34"/>
    <mergeCell ref="A72:A74"/>
    <mergeCell ref="A35:A37"/>
    <mergeCell ref="F32:F33"/>
    <mergeCell ref="F93:F94"/>
    <mergeCell ref="A11:A13"/>
    <mergeCell ref="A14:A16"/>
    <mergeCell ref="A17:A19"/>
    <mergeCell ref="A20:A22"/>
    <mergeCell ref="A23:A25"/>
    <mergeCell ref="A26:A28"/>
    <mergeCell ref="A29:A31"/>
    <mergeCell ref="A41:A47"/>
  </mergeCells>
  <printOptions/>
  <pageMargins left="0.7086614173228347" right="0.7086614173228347" top="0.7480314960629921" bottom="0.7480314960629921" header="0.31496062992125984" footer="0.31496062992125984"/>
  <pageSetup firstPageNumber="77" useFirstPageNumber="1" horizontalDpi="600" verticalDpi="600" orientation="portrait" paperSize="9" scale="70" r:id="rId1"/>
  <headerFooter>
    <oddFooter>&amp;C&amp;P</oddFooter>
  </headerFooter>
  <rowBreaks count="1" manualBreakCount="1">
    <brk id="64" max="255" man="1"/>
  </rowBreaks>
</worksheet>
</file>

<file path=xl/worksheets/sheet6.xml><?xml version="1.0" encoding="utf-8"?>
<worksheet xmlns="http://schemas.openxmlformats.org/spreadsheetml/2006/main" xmlns:r="http://schemas.openxmlformats.org/officeDocument/2006/relationships">
  <dimension ref="A1:J52"/>
  <sheetViews>
    <sheetView showGridLines="0" view="pageBreakPreview" zoomScale="90" zoomScaleNormal="115" zoomScaleSheetLayoutView="90" zoomScalePageLayoutView="0" workbookViewId="0" topLeftCell="A40">
      <selection activeCell="A2" sqref="A2:G3"/>
    </sheetView>
  </sheetViews>
  <sheetFormatPr defaultColWidth="9.00390625" defaultRowHeight="18" customHeight="1"/>
  <cols>
    <col min="1" max="1" width="1.625" style="1" customWidth="1"/>
    <col min="2" max="2" width="4.625" style="1" customWidth="1"/>
    <col min="3" max="3" width="13.375" style="1" bestFit="1" customWidth="1"/>
    <col min="4" max="4" width="10.625" style="1" customWidth="1"/>
    <col min="5" max="8" width="9.375" style="1" customWidth="1"/>
    <col min="9" max="10" width="8.75390625" style="1" customWidth="1"/>
    <col min="11" max="16384" width="9.00390625" style="1" customWidth="1"/>
  </cols>
  <sheetData>
    <row r="1" spans="1:10" ht="18" customHeight="1">
      <c r="A1" s="2" t="s">
        <v>427</v>
      </c>
      <c r="B1" s="2"/>
      <c r="C1" s="2"/>
      <c r="D1" s="2"/>
      <c r="E1" s="2"/>
      <c r="F1" s="2"/>
      <c r="G1" s="2"/>
      <c r="H1" s="2"/>
      <c r="I1" s="2"/>
      <c r="J1" s="30"/>
    </row>
    <row r="2" spans="2:10" s="3" customFormat="1" ht="14.25">
      <c r="B2" s="846" t="s">
        <v>52</v>
      </c>
      <c r="C2" s="847"/>
      <c r="D2" s="26" t="s">
        <v>53</v>
      </c>
      <c r="E2" s="27" t="s">
        <v>54</v>
      </c>
      <c r="F2" s="28" t="s">
        <v>428</v>
      </c>
      <c r="G2" s="28" t="s">
        <v>429</v>
      </c>
      <c r="H2" s="27" t="s">
        <v>55</v>
      </c>
      <c r="I2" s="27" t="s">
        <v>56</v>
      </c>
      <c r="J2" s="29" t="s">
        <v>430</v>
      </c>
    </row>
    <row r="3" spans="2:10" s="3" customFormat="1" ht="15.75" customHeight="1">
      <c r="B3" s="850" t="s">
        <v>431</v>
      </c>
      <c r="C3" s="851"/>
      <c r="D3" s="217">
        <f>SUM(D4:D5)</f>
        <v>79359</v>
      </c>
      <c r="E3" s="218">
        <f>SUM(E4:E5)</f>
        <v>19176</v>
      </c>
      <c r="F3" s="219">
        <f>E3/D3*100</f>
        <v>24.163610932597436</v>
      </c>
      <c r="G3" s="218">
        <f>SUM(G4:G5)</f>
        <v>18093</v>
      </c>
      <c r="H3" s="218">
        <f>SUM(H4:H5)</f>
        <v>1083</v>
      </c>
      <c r="I3" s="218">
        <f>SUM(I4:I5)</f>
        <v>0</v>
      </c>
      <c r="J3" s="220">
        <f>SUM(J4:J5)</f>
        <v>43</v>
      </c>
    </row>
    <row r="4" spans="2:10" s="3" customFormat="1" ht="15.75" customHeight="1">
      <c r="B4" s="57"/>
      <c r="C4" s="59" t="s">
        <v>57</v>
      </c>
      <c r="D4" s="221">
        <v>79359</v>
      </c>
      <c r="E4" s="222">
        <f>1351+15686</f>
        <v>17037</v>
      </c>
      <c r="F4" s="219">
        <f>E4/D4*100</f>
        <v>21.46826446905833</v>
      </c>
      <c r="G4" s="222">
        <v>16155</v>
      </c>
      <c r="H4" s="222">
        <f>50+832</f>
        <v>882</v>
      </c>
      <c r="I4" s="222">
        <v>0</v>
      </c>
      <c r="J4" s="223">
        <f>2+41</f>
        <v>43</v>
      </c>
    </row>
    <row r="5" spans="2:10" s="3" customFormat="1" ht="15.75" customHeight="1">
      <c r="B5" s="58"/>
      <c r="C5" s="60" t="s">
        <v>58</v>
      </c>
      <c r="D5" s="224"/>
      <c r="E5" s="225">
        <v>2139</v>
      </c>
      <c r="F5" s="226"/>
      <c r="G5" s="225">
        <v>1938</v>
      </c>
      <c r="H5" s="225">
        <v>201</v>
      </c>
      <c r="I5" s="225">
        <v>0</v>
      </c>
      <c r="J5" s="227">
        <v>0</v>
      </c>
    </row>
    <row r="6" spans="2:10" s="3" customFormat="1" ht="15.75" customHeight="1">
      <c r="B6" s="848" t="s">
        <v>60</v>
      </c>
      <c r="C6" s="849"/>
      <c r="D6" s="217">
        <f>SUM(D7:D8)</f>
        <v>97919</v>
      </c>
      <c r="E6" s="218">
        <f>SUM(E7:E8)</f>
        <v>29954</v>
      </c>
      <c r="F6" s="228">
        <f>E6/D6*100</f>
        <v>30.590590181680778</v>
      </c>
      <c r="G6" s="218">
        <f>SUM(G7:G8)</f>
        <v>29625</v>
      </c>
      <c r="H6" s="218">
        <f>SUM(H7:H8)</f>
        <v>327</v>
      </c>
      <c r="I6" s="218">
        <f>SUM(I7:I8)</f>
        <v>0</v>
      </c>
      <c r="J6" s="220">
        <f>SUM(J7:J8)</f>
        <v>21</v>
      </c>
    </row>
    <row r="7" spans="2:10" s="3" customFormat="1" ht="15.75" customHeight="1">
      <c r="B7" s="57"/>
      <c r="C7" s="59" t="s">
        <v>57</v>
      </c>
      <c r="D7" s="221">
        <v>97919</v>
      </c>
      <c r="E7" s="222">
        <v>25268</v>
      </c>
      <c r="F7" s="229">
        <f>E7/D7*100</f>
        <v>25.805002093567133</v>
      </c>
      <c r="G7" s="222">
        <v>25007</v>
      </c>
      <c r="H7" s="222">
        <v>259</v>
      </c>
      <c r="I7" s="222">
        <v>0</v>
      </c>
      <c r="J7" s="223">
        <v>18</v>
      </c>
    </row>
    <row r="8" spans="2:10" s="3" customFormat="1" ht="15.75" customHeight="1">
      <c r="B8" s="58"/>
      <c r="C8" s="60" t="s">
        <v>58</v>
      </c>
      <c r="D8" s="224"/>
      <c r="E8" s="225">
        <v>4686</v>
      </c>
      <c r="F8" s="230"/>
      <c r="G8" s="225">
        <v>4618</v>
      </c>
      <c r="H8" s="225">
        <v>68</v>
      </c>
      <c r="I8" s="231">
        <v>0</v>
      </c>
      <c r="J8" s="227">
        <v>3</v>
      </c>
    </row>
    <row r="9" spans="2:10" s="3" customFormat="1" ht="14.25">
      <c r="B9" s="848" t="s">
        <v>61</v>
      </c>
      <c r="C9" s="849"/>
      <c r="D9" s="217">
        <f>SUM(D10:D11)</f>
        <v>77397</v>
      </c>
      <c r="E9" s="218">
        <f>SUM(E10:E11)</f>
        <v>20671</v>
      </c>
      <c r="F9" s="219">
        <f>E9/D9*100</f>
        <v>26.707753530498596</v>
      </c>
      <c r="G9" s="218">
        <f>SUM(G10:G11)</f>
        <v>19453</v>
      </c>
      <c r="H9" s="218">
        <f>SUM(H10:H11)</f>
        <v>1218</v>
      </c>
      <c r="I9" s="218">
        <f>SUM(I10:I11)</f>
        <v>0</v>
      </c>
      <c r="J9" s="220">
        <f>SUM(J10:J11)</f>
        <v>39</v>
      </c>
    </row>
    <row r="10" spans="2:10" s="3" customFormat="1" ht="15.75" customHeight="1">
      <c r="B10" s="57"/>
      <c r="C10" s="59" t="s">
        <v>57</v>
      </c>
      <c r="D10" s="221">
        <v>77397</v>
      </c>
      <c r="E10" s="222">
        <v>17430</v>
      </c>
      <c r="F10" s="229">
        <f>E10/D10*100</f>
        <v>22.52025272297376</v>
      </c>
      <c r="G10" s="222">
        <f>E10-H10</f>
        <v>16400</v>
      </c>
      <c r="H10" s="222">
        <v>1030</v>
      </c>
      <c r="I10" s="222">
        <v>0</v>
      </c>
      <c r="J10" s="223">
        <v>35</v>
      </c>
    </row>
    <row r="11" spans="2:10" s="3" customFormat="1" ht="15.75" customHeight="1">
      <c r="B11" s="58"/>
      <c r="C11" s="60" t="s">
        <v>58</v>
      </c>
      <c r="D11" s="224"/>
      <c r="E11" s="225">
        <v>3241</v>
      </c>
      <c r="F11" s="230"/>
      <c r="G11" s="225">
        <v>3053</v>
      </c>
      <c r="H11" s="225">
        <v>188</v>
      </c>
      <c r="I11" s="225">
        <v>0</v>
      </c>
      <c r="J11" s="227">
        <v>4</v>
      </c>
    </row>
    <row r="12" spans="2:10" s="3" customFormat="1" ht="15.75" customHeight="1">
      <c r="B12" s="848" t="s">
        <v>220</v>
      </c>
      <c r="C12" s="849"/>
      <c r="D12" s="217">
        <f>SUM(D13:D14)</f>
        <v>75401</v>
      </c>
      <c r="E12" s="218">
        <f>SUM(E13:E14)</f>
        <v>9510</v>
      </c>
      <c r="F12" s="219">
        <f>E12/D12*100</f>
        <v>12.612564820095223</v>
      </c>
      <c r="G12" s="218">
        <f>SUM(G13:G14)</f>
        <v>9210</v>
      </c>
      <c r="H12" s="218">
        <f>SUM(H13:H14)</f>
        <v>299</v>
      </c>
      <c r="I12" s="218">
        <f>SUM(I13:I14)</f>
        <v>0</v>
      </c>
      <c r="J12" s="220">
        <f>SUM(J13:J14)</f>
        <v>4</v>
      </c>
    </row>
    <row r="13" spans="2:10" s="3" customFormat="1" ht="15.75" customHeight="1">
      <c r="B13" s="57"/>
      <c r="C13" s="59" t="s">
        <v>57</v>
      </c>
      <c r="D13" s="221">
        <v>75401</v>
      </c>
      <c r="E13" s="222">
        <v>7073</v>
      </c>
      <c r="F13" s="229">
        <f>E13/D13*100</f>
        <v>9.380512194798477</v>
      </c>
      <c r="G13" s="222">
        <v>6806</v>
      </c>
      <c r="H13" s="222">
        <v>266</v>
      </c>
      <c r="I13" s="222">
        <v>0</v>
      </c>
      <c r="J13" s="223">
        <v>3</v>
      </c>
    </row>
    <row r="14" spans="2:10" s="3" customFormat="1" ht="15.75" customHeight="1">
      <c r="B14" s="58"/>
      <c r="C14" s="60" t="s">
        <v>58</v>
      </c>
      <c r="D14" s="224"/>
      <c r="E14" s="225">
        <v>2437</v>
      </c>
      <c r="F14" s="230"/>
      <c r="G14" s="225">
        <f>E14-H14</f>
        <v>2404</v>
      </c>
      <c r="H14" s="225">
        <v>33</v>
      </c>
      <c r="I14" s="225">
        <v>0</v>
      </c>
      <c r="J14" s="227">
        <v>1</v>
      </c>
    </row>
    <row r="15" spans="2:10" s="3" customFormat="1" ht="15.75" customHeight="1">
      <c r="B15" s="848" t="s">
        <v>59</v>
      </c>
      <c r="C15" s="849"/>
      <c r="D15" s="217">
        <f>SUM(D16:D17)</f>
        <v>52026</v>
      </c>
      <c r="E15" s="218">
        <f>SUM(E16:E17)</f>
        <v>8438</v>
      </c>
      <c r="F15" s="219">
        <f>E15/D15*100</f>
        <v>16.218813670088032</v>
      </c>
      <c r="G15" s="218">
        <f>SUM(G16:G17)</f>
        <v>8091</v>
      </c>
      <c r="H15" s="218">
        <f>SUM(H16:H17)</f>
        <v>347</v>
      </c>
      <c r="I15" s="218">
        <f>SUM(I16:I17)</f>
        <v>0</v>
      </c>
      <c r="J15" s="220">
        <f>SUM(J16:J17)</f>
        <v>33</v>
      </c>
    </row>
    <row r="16" spans="2:10" s="3" customFormat="1" ht="15.75" customHeight="1">
      <c r="B16" s="57"/>
      <c r="C16" s="59" t="s">
        <v>57</v>
      </c>
      <c r="D16" s="221">
        <v>52026</v>
      </c>
      <c r="E16" s="222">
        <v>5953</v>
      </c>
      <c r="F16" s="229">
        <f>E16/D16*100</f>
        <v>11.44235574520432</v>
      </c>
      <c r="G16" s="222">
        <f>E16-H16</f>
        <v>5737</v>
      </c>
      <c r="H16" s="222">
        <v>216</v>
      </c>
      <c r="I16" s="222">
        <v>0</v>
      </c>
      <c r="J16" s="223">
        <v>23</v>
      </c>
    </row>
    <row r="17" spans="2:10" s="3" customFormat="1" ht="15.75" customHeight="1">
      <c r="B17" s="61"/>
      <c r="C17" s="62" t="s">
        <v>58</v>
      </c>
      <c r="D17" s="232"/>
      <c r="E17" s="233">
        <v>2485</v>
      </c>
      <c r="F17" s="234"/>
      <c r="G17" s="233">
        <f>E17-H17</f>
        <v>2354</v>
      </c>
      <c r="H17" s="233">
        <v>131</v>
      </c>
      <c r="I17" s="233">
        <v>0</v>
      </c>
      <c r="J17" s="235">
        <v>10</v>
      </c>
    </row>
    <row r="18" spans="2:10" s="3" customFormat="1" ht="15.75" customHeight="1">
      <c r="B18" s="852" t="s">
        <v>526</v>
      </c>
      <c r="C18" s="853"/>
      <c r="D18" s="236">
        <f>SUM(D19:D20)</f>
        <v>19625</v>
      </c>
      <c r="E18" s="237">
        <f>SUM(E19:E20)</f>
        <v>5850</v>
      </c>
      <c r="F18" s="228">
        <f>E18/D18*100</f>
        <v>29.808917197452228</v>
      </c>
      <c r="G18" s="237">
        <f>SUM(G19:G20)</f>
        <v>4542</v>
      </c>
      <c r="H18" s="237">
        <f>SUM(H19:H20)</f>
        <v>756</v>
      </c>
      <c r="I18" s="237">
        <f>SUM(I19:I20)</f>
        <v>552</v>
      </c>
      <c r="J18" s="238">
        <f>SUM(J19:J20)</f>
        <v>69</v>
      </c>
    </row>
    <row r="19" spans="2:10" s="3" customFormat="1" ht="13.5">
      <c r="B19" s="57"/>
      <c r="C19" s="59" t="s">
        <v>57</v>
      </c>
      <c r="D19" s="221">
        <v>19625</v>
      </c>
      <c r="E19" s="222">
        <v>5238</v>
      </c>
      <c r="F19" s="229">
        <f>E19/D19*100</f>
        <v>26.690445859872614</v>
      </c>
      <c r="G19" s="222">
        <v>4081</v>
      </c>
      <c r="H19" s="222">
        <v>669</v>
      </c>
      <c r="I19" s="445">
        <f>380+108</f>
        <v>488</v>
      </c>
      <c r="J19" s="223">
        <v>67</v>
      </c>
    </row>
    <row r="20" spans="2:10" s="3" customFormat="1" ht="15.75" customHeight="1">
      <c r="B20" s="58"/>
      <c r="C20" s="60" t="s">
        <v>58</v>
      </c>
      <c r="D20" s="224"/>
      <c r="E20" s="225">
        <v>612</v>
      </c>
      <c r="F20" s="230"/>
      <c r="G20" s="225">
        <v>461</v>
      </c>
      <c r="H20" s="225">
        <v>87</v>
      </c>
      <c r="I20" s="231">
        <f>51+13</f>
        <v>64</v>
      </c>
      <c r="J20" s="227">
        <v>2</v>
      </c>
    </row>
    <row r="21" spans="3:10" s="3" customFormat="1" ht="15.75" customHeight="1">
      <c r="C21" s="854" t="s">
        <v>188</v>
      </c>
      <c r="D21" s="854"/>
      <c r="E21" s="854"/>
      <c r="F21" s="854"/>
      <c r="G21" s="854"/>
      <c r="H21" s="854"/>
      <c r="I21" s="854"/>
      <c r="J21" s="854"/>
    </row>
    <row r="22" s="3" customFormat="1" ht="15.75" customHeight="1"/>
    <row r="23" spans="1:10" ht="15.75" customHeight="1">
      <c r="A23" s="790" t="s">
        <v>340</v>
      </c>
      <c r="B23" s="790"/>
      <c r="C23" s="790"/>
      <c r="D23" s="790"/>
      <c r="E23" s="790"/>
      <c r="F23" s="790"/>
      <c r="G23" s="790"/>
      <c r="H23" s="790"/>
      <c r="I23" s="790"/>
      <c r="J23" s="790"/>
    </row>
    <row r="24" spans="2:6" s="3" customFormat="1" ht="15.75" customHeight="1">
      <c r="B24" s="863" t="s">
        <v>52</v>
      </c>
      <c r="C24" s="864"/>
      <c r="D24" s="31" t="s">
        <v>31</v>
      </c>
      <c r="E24" s="5" t="s">
        <v>54</v>
      </c>
      <c r="F24" s="6" t="s">
        <v>55</v>
      </c>
    </row>
    <row r="25" spans="2:6" s="3" customFormat="1" ht="15.75" customHeight="1">
      <c r="B25" s="869" t="s">
        <v>432</v>
      </c>
      <c r="C25" s="870"/>
      <c r="D25" s="218">
        <f>SUM(D26:D27)</f>
        <v>28535</v>
      </c>
      <c r="E25" s="218">
        <f>SUM(E26:E27)</f>
        <v>2554</v>
      </c>
      <c r="F25" s="220">
        <f>SUM(F26:F27)</f>
        <v>3</v>
      </c>
    </row>
    <row r="26" spans="2:6" s="3" customFormat="1" ht="15.75" customHeight="1">
      <c r="B26" s="57"/>
      <c r="C26" s="59" t="s">
        <v>57</v>
      </c>
      <c r="D26" s="222">
        <v>28535</v>
      </c>
      <c r="E26" s="222">
        <v>2039</v>
      </c>
      <c r="F26" s="223">
        <v>3</v>
      </c>
    </row>
    <row r="27" spans="2:6" s="3" customFormat="1" ht="15.75" customHeight="1">
      <c r="B27" s="57"/>
      <c r="C27" s="59" t="s">
        <v>58</v>
      </c>
      <c r="D27" s="222">
        <v>0</v>
      </c>
      <c r="E27" s="222">
        <v>515</v>
      </c>
      <c r="F27" s="223">
        <v>0</v>
      </c>
    </row>
    <row r="28" spans="2:6" s="3" customFormat="1" ht="15.75" customHeight="1">
      <c r="B28" s="770" t="s">
        <v>433</v>
      </c>
      <c r="C28" s="867"/>
      <c r="D28" s="222">
        <f>SUM(D29:D30)</f>
        <v>28535</v>
      </c>
      <c r="E28" s="222">
        <f>SUM(E29:E30)</f>
        <v>2554</v>
      </c>
      <c r="F28" s="223">
        <f>SUM(F29:F30)</f>
        <v>9</v>
      </c>
    </row>
    <row r="29" spans="2:6" s="3" customFormat="1" ht="15.75" customHeight="1">
      <c r="B29" s="57"/>
      <c r="C29" s="59" t="s">
        <v>57</v>
      </c>
      <c r="D29" s="222">
        <v>28535</v>
      </c>
      <c r="E29" s="222">
        <v>2039</v>
      </c>
      <c r="F29" s="223">
        <v>8</v>
      </c>
    </row>
    <row r="30" spans="2:6" s="3" customFormat="1" ht="15.75" customHeight="1">
      <c r="B30" s="58"/>
      <c r="C30" s="60" t="s">
        <v>434</v>
      </c>
      <c r="D30" s="225">
        <v>0</v>
      </c>
      <c r="E30" s="225">
        <v>515</v>
      </c>
      <c r="F30" s="227">
        <v>1</v>
      </c>
    </row>
    <row r="31" spans="3:10" ht="15.75" customHeight="1">
      <c r="C31" s="868"/>
      <c r="D31" s="868"/>
      <c r="E31" s="868"/>
      <c r="F31" s="868"/>
      <c r="G31" s="868"/>
      <c r="H31" s="868"/>
      <c r="I31" s="868"/>
      <c r="J31" s="868"/>
    </row>
    <row r="32" ht="15.75" customHeight="1"/>
    <row r="33" spans="1:10" ht="15.75" customHeight="1">
      <c r="A33" s="790" t="s">
        <v>435</v>
      </c>
      <c r="B33" s="790"/>
      <c r="C33" s="790"/>
      <c r="D33" s="790"/>
      <c r="E33" s="790"/>
      <c r="F33" s="790"/>
      <c r="G33" s="790"/>
      <c r="H33" s="790"/>
      <c r="I33" s="790"/>
      <c r="J33" s="790"/>
    </row>
    <row r="34" spans="2:10" s="3" customFormat="1" ht="15.75" customHeight="1">
      <c r="B34" s="846" t="s">
        <v>52</v>
      </c>
      <c r="C34" s="847"/>
      <c r="D34" s="26" t="s">
        <v>53</v>
      </c>
      <c r="E34" s="27" t="s">
        <v>54</v>
      </c>
      <c r="F34" s="28" t="s">
        <v>428</v>
      </c>
      <c r="G34" s="28" t="s">
        <v>429</v>
      </c>
      <c r="H34" s="27" t="s">
        <v>55</v>
      </c>
      <c r="I34" s="27" t="s">
        <v>62</v>
      </c>
      <c r="J34" s="29" t="s">
        <v>51</v>
      </c>
    </row>
    <row r="35" spans="2:10" s="3" customFormat="1" ht="15.75" customHeight="1">
      <c r="B35" s="871" t="s">
        <v>47</v>
      </c>
      <c r="C35" s="872"/>
      <c r="D35" s="446">
        <v>45675</v>
      </c>
      <c r="E35" s="422">
        <v>2570</v>
      </c>
      <c r="F35" s="239">
        <f>E35/D35*100</f>
        <v>5.626710454296662</v>
      </c>
      <c r="G35" s="422">
        <v>128</v>
      </c>
      <c r="H35" s="422">
        <v>2116</v>
      </c>
      <c r="I35" s="422">
        <v>326</v>
      </c>
      <c r="J35" s="240"/>
    </row>
    <row r="36" spans="2:10" s="3" customFormat="1" ht="15.75" customHeight="1">
      <c r="B36" s="855" t="s">
        <v>436</v>
      </c>
      <c r="C36" s="856"/>
      <c r="D36" s="859">
        <f>SUM(D38:D39)</f>
        <v>17797</v>
      </c>
      <c r="E36" s="861">
        <f>SUM(E38:E39)</f>
        <v>5171</v>
      </c>
      <c r="F36" s="865">
        <f>E36/D36*100</f>
        <v>29.055458785188513</v>
      </c>
      <c r="G36" s="861">
        <f>SUM(G38:G39)</f>
        <v>2150</v>
      </c>
      <c r="H36" s="861">
        <f>SUM(H38:H39)</f>
        <v>1492</v>
      </c>
      <c r="I36" s="861">
        <f>SUM(I38:I39)</f>
        <v>1293</v>
      </c>
      <c r="J36" s="447">
        <f>J38+J39</f>
        <v>356</v>
      </c>
    </row>
    <row r="37" spans="2:10" s="3" customFormat="1" ht="15.75" customHeight="1">
      <c r="B37" s="857"/>
      <c r="C37" s="858"/>
      <c r="D37" s="860"/>
      <c r="E37" s="862"/>
      <c r="F37" s="866" t="e">
        <f>E37/D37*100</f>
        <v>#DIV/0!</v>
      </c>
      <c r="G37" s="862"/>
      <c r="H37" s="862"/>
      <c r="I37" s="862"/>
      <c r="J37" s="241" t="s">
        <v>63</v>
      </c>
    </row>
    <row r="38" spans="2:10" s="3" customFormat="1" ht="15.75" customHeight="1">
      <c r="B38" s="57"/>
      <c r="C38" s="59" t="s">
        <v>57</v>
      </c>
      <c r="D38" s="221">
        <v>17797</v>
      </c>
      <c r="E38" s="222">
        <v>4740</v>
      </c>
      <c r="F38" s="229">
        <f>E38/D38*100</f>
        <v>26.63370230937798</v>
      </c>
      <c r="G38" s="222">
        <v>1792</v>
      </c>
      <c r="H38" s="222">
        <v>1491</v>
      </c>
      <c r="I38" s="222">
        <v>1221</v>
      </c>
      <c r="J38" s="223">
        <v>356</v>
      </c>
    </row>
    <row r="39" spans="2:10" s="3" customFormat="1" ht="15.75" customHeight="1">
      <c r="B39" s="58"/>
      <c r="C39" s="60" t="s">
        <v>58</v>
      </c>
      <c r="D39" s="224">
        <v>0</v>
      </c>
      <c r="E39" s="225">
        <v>431</v>
      </c>
      <c r="F39" s="230">
        <v>0</v>
      </c>
      <c r="G39" s="225">
        <v>358</v>
      </c>
      <c r="H39" s="225">
        <v>1</v>
      </c>
      <c r="I39" s="225">
        <v>72</v>
      </c>
      <c r="J39" s="227">
        <v>0</v>
      </c>
    </row>
    <row r="40" s="3" customFormat="1" ht="15.75" customHeight="1">
      <c r="B40" s="3" t="s">
        <v>160</v>
      </c>
    </row>
    <row r="41" ht="15.75" customHeight="1"/>
    <row r="42" spans="1:10" ht="15.75" customHeight="1">
      <c r="A42" s="873" t="s">
        <v>341</v>
      </c>
      <c r="B42" s="873"/>
      <c r="C42" s="873"/>
      <c r="D42" s="873"/>
      <c r="E42" s="873"/>
      <c r="F42" s="873"/>
      <c r="G42" s="873"/>
      <c r="H42" s="873"/>
      <c r="I42" s="873"/>
      <c r="J42" s="873"/>
    </row>
    <row r="43" spans="2:10" s="3" customFormat="1" ht="15.75" customHeight="1">
      <c r="B43" s="846" t="s">
        <v>52</v>
      </c>
      <c r="C43" s="847"/>
      <c r="D43" s="26" t="s">
        <v>53</v>
      </c>
      <c r="E43" s="27" t="s">
        <v>54</v>
      </c>
      <c r="F43" s="28" t="s">
        <v>428</v>
      </c>
      <c r="G43" s="28" t="s">
        <v>429</v>
      </c>
      <c r="H43" s="149" t="s">
        <v>64</v>
      </c>
      <c r="I43" s="149" t="s">
        <v>65</v>
      </c>
      <c r="J43" s="166" t="s">
        <v>66</v>
      </c>
    </row>
    <row r="44" spans="2:10" s="3" customFormat="1" ht="15.75" customHeight="1">
      <c r="B44" s="874" t="s">
        <v>42</v>
      </c>
      <c r="C44" s="875"/>
      <c r="D44" s="448">
        <v>53448</v>
      </c>
      <c r="E44" s="449">
        <v>2006</v>
      </c>
      <c r="F44" s="242">
        <f>E44/D44*100</f>
        <v>3.753180661577608</v>
      </c>
      <c r="G44" s="449">
        <f>393+916</f>
        <v>1309</v>
      </c>
      <c r="H44" s="449">
        <f>229+347</f>
        <v>576</v>
      </c>
      <c r="I44" s="449">
        <f>49+65</f>
        <v>114</v>
      </c>
      <c r="J44" s="450">
        <f>2+5</f>
        <v>7</v>
      </c>
    </row>
    <row r="45" ht="15.75" customHeight="1"/>
    <row r="46" spans="1:10" ht="15.75" customHeight="1">
      <c r="A46" s="873" t="s">
        <v>342</v>
      </c>
      <c r="B46" s="873"/>
      <c r="C46" s="873"/>
      <c r="D46" s="873"/>
      <c r="E46" s="873"/>
      <c r="F46" s="873"/>
      <c r="G46" s="873"/>
      <c r="H46" s="873"/>
      <c r="I46" s="873"/>
      <c r="J46" s="873"/>
    </row>
    <row r="47" spans="2:10" s="3" customFormat="1" ht="15.75" customHeight="1">
      <c r="B47" s="846" t="s">
        <v>52</v>
      </c>
      <c r="C47" s="847"/>
      <c r="D47" s="26" t="s">
        <v>53</v>
      </c>
      <c r="E47" s="27" t="s">
        <v>54</v>
      </c>
      <c r="F47" s="28" t="s">
        <v>192</v>
      </c>
      <c r="G47" s="28" t="s">
        <v>429</v>
      </c>
      <c r="H47" s="27" t="s">
        <v>55</v>
      </c>
      <c r="I47" s="167" t="s">
        <v>139</v>
      </c>
      <c r="J47" s="166" t="s">
        <v>140</v>
      </c>
    </row>
    <row r="48" spans="2:10" s="3" customFormat="1" ht="15.75" customHeight="1">
      <c r="B48" s="874" t="s">
        <v>141</v>
      </c>
      <c r="C48" s="875"/>
      <c r="D48" s="448">
        <v>13839</v>
      </c>
      <c r="E48" s="449">
        <v>1626</v>
      </c>
      <c r="F48" s="242">
        <f>E48/D48*100</f>
        <v>11.749403858660308</v>
      </c>
      <c r="G48" s="449">
        <f>E48-H48</f>
        <v>1262</v>
      </c>
      <c r="H48" s="449">
        <v>364</v>
      </c>
      <c r="I48" s="449">
        <v>68</v>
      </c>
      <c r="J48" s="450">
        <v>153</v>
      </c>
    </row>
    <row r="49" ht="15.75" customHeight="1"/>
    <row r="50" spans="1:10" ht="15.75" customHeight="1">
      <c r="A50" s="873" t="s">
        <v>343</v>
      </c>
      <c r="B50" s="873"/>
      <c r="C50" s="873"/>
      <c r="D50" s="873"/>
      <c r="E50" s="873"/>
      <c r="F50" s="873"/>
      <c r="G50" s="873"/>
      <c r="H50" s="873"/>
      <c r="I50" s="873"/>
      <c r="J50" s="873"/>
    </row>
    <row r="51" spans="2:10" s="3" customFormat="1" ht="15.75" customHeight="1">
      <c r="B51" s="846" t="s">
        <v>52</v>
      </c>
      <c r="C51" s="847"/>
      <c r="D51" s="26" t="s">
        <v>53</v>
      </c>
      <c r="E51" s="27" t="s">
        <v>324</v>
      </c>
      <c r="F51" s="28" t="s">
        <v>437</v>
      </c>
      <c r="G51" s="28" t="s">
        <v>325</v>
      </c>
      <c r="H51" s="27" t="s">
        <v>326</v>
      </c>
      <c r="I51" s="167" t="s">
        <v>327</v>
      </c>
      <c r="J51" s="166" t="s">
        <v>323</v>
      </c>
    </row>
    <row r="52" spans="2:10" s="3" customFormat="1" ht="15.75" customHeight="1">
      <c r="B52" s="874" t="s">
        <v>300</v>
      </c>
      <c r="C52" s="875"/>
      <c r="D52" s="448">
        <v>13980</v>
      </c>
      <c r="E52" s="449">
        <v>4981</v>
      </c>
      <c r="F52" s="242">
        <f>E52/D52*100</f>
        <v>35.62947067238913</v>
      </c>
      <c r="G52" s="449">
        <v>1306</v>
      </c>
      <c r="H52" s="449">
        <v>940</v>
      </c>
      <c r="I52" s="449">
        <v>107</v>
      </c>
      <c r="J52" s="450">
        <v>11</v>
      </c>
    </row>
    <row r="53" ht="15.75" customHeight="1"/>
    <row r="54" ht="15.75" customHeight="1"/>
    <row r="85" ht="15" customHeight="1"/>
    <row r="86" ht="15" customHeight="1"/>
    <row r="87" ht="15" customHeight="1"/>
    <row r="88" ht="15" customHeight="1"/>
    <row r="89" ht="15" customHeight="1"/>
    <row r="90" ht="15" customHeight="1"/>
  </sheetData>
  <sheetProtection/>
  <mergeCells count="32">
    <mergeCell ref="B51:C51"/>
    <mergeCell ref="B52:C52"/>
    <mergeCell ref="B48:C48"/>
    <mergeCell ref="B44:C44"/>
    <mergeCell ref="A46:J46"/>
    <mergeCell ref="B47:C47"/>
    <mergeCell ref="H36:H37"/>
    <mergeCell ref="B35:C35"/>
    <mergeCell ref="I36:I37"/>
    <mergeCell ref="A50:J50"/>
    <mergeCell ref="B43:C43"/>
    <mergeCell ref="A42:J42"/>
    <mergeCell ref="B34:C34"/>
    <mergeCell ref="B36:C37"/>
    <mergeCell ref="D36:D37"/>
    <mergeCell ref="E36:E37"/>
    <mergeCell ref="B24:C24"/>
    <mergeCell ref="F36:F37"/>
    <mergeCell ref="B28:C28"/>
    <mergeCell ref="C31:J31"/>
    <mergeCell ref="B25:C25"/>
    <mergeCell ref="G36:G37"/>
    <mergeCell ref="B2:C2"/>
    <mergeCell ref="B6:C6"/>
    <mergeCell ref="B9:C9"/>
    <mergeCell ref="B12:C12"/>
    <mergeCell ref="B3:C3"/>
    <mergeCell ref="A33:J33"/>
    <mergeCell ref="B15:C15"/>
    <mergeCell ref="B18:C18"/>
    <mergeCell ref="C21:J21"/>
    <mergeCell ref="A23:J23"/>
  </mergeCells>
  <printOptions/>
  <pageMargins left="0.7086614173228347" right="0.7086614173228347" top="0.7480314960629921" bottom="0.7480314960629921" header="0.31496062992125984" footer="0.31496062992125984"/>
  <pageSetup firstPageNumber="79" useFirstPageNumber="1" horizontalDpi="600" verticalDpi="600" orientation="portrait" paperSize="9" scale="97" r:id="rId3"/>
  <headerFooter>
    <oddFooter>&amp;C&amp;P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A24"/>
  <sheetViews>
    <sheetView showGridLines="0" view="pageBreakPreview" zoomScale="85" zoomScaleNormal="115" zoomScaleSheetLayoutView="85" zoomScalePageLayoutView="0" workbookViewId="0" topLeftCell="A1">
      <pane xSplit="3" ySplit="4" topLeftCell="D5" activePane="bottomRight" state="frozen"/>
      <selection pane="topLeft" activeCell="G9" sqref="G9"/>
      <selection pane="topRight" activeCell="G9" sqref="G9"/>
      <selection pane="bottomLeft" activeCell="G9" sqref="G9"/>
      <selection pane="bottomRight" activeCell="G9" sqref="G9"/>
    </sheetView>
  </sheetViews>
  <sheetFormatPr defaultColWidth="9.00390625" defaultRowHeight="19.5" customHeight="1"/>
  <cols>
    <col min="1" max="1" width="1.625" style="1" customWidth="1"/>
    <col min="2" max="2" width="3.50390625" style="1" bestFit="1" customWidth="1"/>
    <col min="3" max="3" width="10.00390625" style="1" customWidth="1"/>
    <col min="4" max="7" width="6.875" style="1" customWidth="1"/>
    <col min="8" max="11" width="6.25390625" style="1" customWidth="1"/>
    <col min="12" max="13" width="6.25390625" style="46" customWidth="1"/>
    <col min="14" max="27" width="6.25390625" style="1" customWidth="1"/>
    <col min="28" max="16384" width="9.00390625" style="1" customWidth="1"/>
  </cols>
  <sheetData>
    <row r="1" spans="1:27" ht="19.5" customHeight="1">
      <c r="A1" s="891" t="s">
        <v>438</v>
      </c>
      <c r="B1" s="891"/>
      <c r="C1" s="891"/>
      <c r="D1" s="891"/>
      <c r="E1" s="891"/>
      <c r="F1" s="891"/>
      <c r="G1" s="891"/>
      <c r="H1" s="891"/>
      <c r="I1" s="891"/>
      <c r="J1" s="891"/>
      <c r="K1" s="891"/>
      <c r="L1" s="891"/>
      <c r="M1" s="891"/>
      <c r="AA1" s="25"/>
    </row>
    <row r="2" spans="2:27" s="3" customFormat="1" ht="14.25">
      <c r="B2" s="894" t="s">
        <v>76</v>
      </c>
      <c r="C2" s="856" t="s">
        <v>74</v>
      </c>
      <c r="D2" s="897" t="s">
        <v>54</v>
      </c>
      <c r="E2" s="883"/>
      <c r="F2" s="883" t="s">
        <v>439</v>
      </c>
      <c r="G2" s="883"/>
      <c r="H2" s="883" t="s">
        <v>55</v>
      </c>
      <c r="I2" s="883"/>
      <c r="J2" s="883" t="s">
        <v>79</v>
      </c>
      <c r="K2" s="883"/>
      <c r="L2" s="881" t="s">
        <v>440</v>
      </c>
      <c r="M2" s="881"/>
      <c r="N2" s="883" t="s">
        <v>80</v>
      </c>
      <c r="O2" s="883"/>
      <c r="P2" s="883"/>
      <c r="Q2" s="883"/>
      <c r="R2" s="883"/>
      <c r="S2" s="883"/>
      <c r="T2" s="883"/>
      <c r="U2" s="883"/>
      <c r="V2" s="883"/>
      <c r="W2" s="883"/>
      <c r="X2" s="883"/>
      <c r="Y2" s="883"/>
      <c r="Z2" s="883"/>
      <c r="AA2" s="884"/>
    </row>
    <row r="3" spans="2:27" s="3" customFormat="1" ht="63" customHeight="1">
      <c r="B3" s="895"/>
      <c r="C3" s="892"/>
      <c r="D3" s="898"/>
      <c r="E3" s="885"/>
      <c r="F3" s="885"/>
      <c r="G3" s="885"/>
      <c r="H3" s="885"/>
      <c r="I3" s="885"/>
      <c r="J3" s="885"/>
      <c r="K3" s="885"/>
      <c r="L3" s="882"/>
      <c r="M3" s="882"/>
      <c r="N3" s="885" t="s">
        <v>81</v>
      </c>
      <c r="O3" s="885"/>
      <c r="P3" s="885" t="s">
        <v>82</v>
      </c>
      <c r="Q3" s="885"/>
      <c r="R3" s="885" t="s">
        <v>441</v>
      </c>
      <c r="S3" s="885"/>
      <c r="T3" s="885" t="s">
        <v>442</v>
      </c>
      <c r="U3" s="885"/>
      <c r="V3" s="886" t="s">
        <v>443</v>
      </c>
      <c r="W3" s="886"/>
      <c r="X3" s="885" t="s">
        <v>83</v>
      </c>
      <c r="Y3" s="885"/>
      <c r="Z3" s="885" t="s">
        <v>75</v>
      </c>
      <c r="AA3" s="887"/>
    </row>
    <row r="4" spans="2:27" s="3" customFormat="1" ht="26.25" customHeight="1">
      <c r="B4" s="896"/>
      <c r="C4" s="893"/>
      <c r="D4" s="101" t="s">
        <v>57</v>
      </c>
      <c r="E4" s="102" t="s">
        <v>58</v>
      </c>
      <c r="F4" s="102" t="s">
        <v>57</v>
      </c>
      <c r="G4" s="102" t="s">
        <v>58</v>
      </c>
      <c r="H4" s="102" t="s">
        <v>57</v>
      </c>
      <c r="I4" s="102" t="s">
        <v>58</v>
      </c>
      <c r="J4" s="102" t="s">
        <v>57</v>
      </c>
      <c r="K4" s="102" t="s">
        <v>58</v>
      </c>
      <c r="L4" s="102" t="s">
        <v>57</v>
      </c>
      <c r="M4" s="102" t="s">
        <v>58</v>
      </c>
      <c r="N4" s="102" t="s">
        <v>57</v>
      </c>
      <c r="O4" s="102" t="s">
        <v>58</v>
      </c>
      <c r="P4" s="102" t="s">
        <v>57</v>
      </c>
      <c r="Q4" s="102" t="s">
        <v>58</v>
      </c>
      <c r="R4" s="102" t="s">
        <v>57</v>
      </c>
      <c r="S4" s="102" t="s">
        <v>58</v>
      </c>
      <c r="T4" s="102" t="s">
        <v>57</v>
      </c>
      <c r="U4" s="102" t="s">
        <v>58</v>
      </c>
      <c r="V4" s="102" t="s">
        <v>57</v>
      </c>
      <c r="W4" s="102" t="s">
        <v>58</v>
      </c>
      <c r="X4" s="102" t="s">
        <v>57</v>
      </c>
      <c r="Y4" s="102" t="s">
        <v>58</v>
      </c>
      <c r="Z4" s="102" t="s">
        <v>57</v>
      </c>
      <c r="AA4" s="103" t="s">
        <v>58</v>
      </c>
    </row>
    <row r="5" spans="1:27" s="3" customFormat="1" ht="26.25" customHeight="1">
      <c r="A5" s="98"/>
      <c r="B5" s="878" t="s">
        <v>70</v>
      </c>
      <c r="C5" s="122" t="s">
        <v>189</v>
      </c>
      <c r="D5" s="243">
        <f>F5+H5</f>
        <v>0</v>
      </c>
      <c r="E5" s="244">
        <f>G5+I5</f>
        <v>48</v>
      </c>
      <c r="F5" s="244">
        <v>0</v>
      </c>
      <c r="G5" s="244">
        <v>47</v>
      </c>
      <c r="H5" s="244">
        <v>0</v>
      </c>
      <c r="I5" s="244">
        <v>1</v>
      </c>
      <c r="J5" s="244">
        <f>+N5+P5+R5+T5+V5+X5+Z5</f>
        <v>0</v>
      </c>
      <c r="K5" s="244">
        <f aca="true" t="shared" si="0" ref="J5:K8">+O5+Q5+S5+U5+W5+Y5+AA5</f>
        <v>0</v>
      </c>
      <c r="L5" s="245">
        <f aca="true" t="shared" si="1" ref="L5:L13">IF(H5=0,0,J5/H5*100)</f>
        <v>0</v>
      </c>
      <c r="M5" s="245">
        <f aca="true" t="shared" si="2" ref="M5:M13">IF(I5=0,0,K5/I5*100)</f>
        <v>0</v>
      </c>
      <c r="N5" s="244">
        <v>0</v>
      </c>
      <c r="O5" s="244">
        <v>0</v>
      </c>
      <c r="P5" s="244">
        <v>0</v>
      </c>
      <c r="Q5" s="244">
        <v>0</v>
      </c>
      <c r="R5" s="244">
        <v>0</v>
      </c>
      <c r="S5" s="244">
        <v>0</v>
      </c>
      <c r="T5" s="244">
        <v>0</v>
      </c>
      <c r="U5" s="244">
        <v>0</v>
      </c>
      <c r="V5" s="244">
        <v>0</v>
      </c>
      <c r="W5" s="244">
        <v>0</v>
      </c>
      <c r="X5" s="244">
        <v>0</v>
      </c>
      <c r="Y5" s="244">
        <v>0</v>
      </c>
      <c r="Z5" s="244">
        <v>0</v>
      </c>
      <c r="AA5" s="451">
        <v>0</v>
      </c>
    </row>
    <row r="6" spans="2:27" s="3" customFormat="1" ht="26.25" customHeight="1">
      <c r="B6" s="878"/>
      <c r="C6" s="123" t="s">
        <v>444</v>
      </c>
      <c r="D6" s="243">
        <f aca="true" t="shared" si="3" ref="D6:E21">F6+H6</f>
        <v>0</v>
      </c>
      <c r="E6" s="244">
        <f t="shared" si="3"/>
        <v>73</v>
      </c>
      <c r="F6" s="244">
        <v>0</v>
      </c>
      <c r="G6" s="244">
        <v>63</v>
      </c>
      <c r="H6" s="244">
        <v>0</v>
      </c>
      <c r="I6" s="244">
        <v>10</v>
      </c>
      <c r="J6" s="244">
        <f t="shared" si="0"/>
        <v>0</v>
      </c>
      <c r="K6" s="244">
        <f t="shared" si="0"/>
        <v>5</v>
      </c>
      <c r="L6" s="245">
        <f t="shared" si="1"/>
        <v>0</v>
      </c>
      <c r="M6" s="246">
        <f t="shared" si="2"/>
        <v>50</v>
      </c>
      <c r="N6" s="244">
        <v>0</v>
      </c>
      <c r="O6" s="244">
        <v>0</v>
      </c>
      <c r="P6" s="244">
        <v>0</v>
      </c>
      <c r="Q6" s="244">
        <v>0</v>
      </c>
      <c r="R6" s="244">
        <v>0</v>
      </c>
      <c r="S6" s="244">
        <v>0</v>
      </c>
      <c r="T6" s="244">
        <v>0</v>
      </c>
      <c r="U6" s="244">
        <v>1</v>
      </c>
      <c r="V6" s="244">
        <v>0</v>
      </c>
      <c r="W6" s="244">
        <v>0</v>
      </c>
      <c r="X6" s="244">
        <v>0</v>
      </c>
      <c r="Y6" s="244">
        <v>3</v>
      </c>
      <c r="Z6" s="244">
        <v>0</v>
      </c>
      <c r="AA6" s="451">
        <v>1</v>
      </c>
    </row>
    <row r="7" spans="2:27" s="3" customFormat="1" ht="26.25" customHeight="1">
      <c r="B7" s="878"/>
      <c r="C7" s="168" t="s">
        <v>445</v>
      </c>
      <c r="D7" s="247">
        <f t="shared" si="3"/>
        <v>105</v>
      </c>
      <c r="E7" s="248">
        <f t="shared" si="3"/>
        <v>53</v>
      </c>
      <c r="F7" s="248">
        <f>9+95</f>
        <v>104</v>
      </c>
      <c r="G7" s="248">
        <v>49</v>
      </c>
      <c r="H7" s="248">
        <f>0+1</f>
        <v>1</v>
      </c>
      <c r="I7" s="248">
        <v>4</v>
      </c>
      <c r="J7" s="248">
        <f t="shared" si="0"/>
        <v>1</v>
      </c>
      <c r="K7" s="248">
        <f t="shared" si="0"/>
        <v>3</v>
      </c>
      <c r="L7" s="249">
        <f t="shared" si="1"/>
        <v>100</v>
      </c>
      <c r="M7" s="249">
        <f t="shared" si="2"/>
        <v>75</v>
      </c>
      <c r="N7" s="248">
        <v>0</v>
      </c>
      <c r="O7" s="244">
        <v>0</v>
      </c>
      <c r="P7" s="244">
        <v>0</v>
      </c>
      <c r="Q7" s="244">
        <v>0</v>
      </c>
      <c r="R7" s="248">
        <v>0</v>
      </c>
      <c r="S7" s="244">
        <v>0</v>
      </c>
      <c r="T7" s="244">
        <v>0</v>
      </c>
      <c r="U7" s="248">
        <v>1</v>
      </c>
      <c r="V7" s="248">
        <v>0</v>
      </c>
      <c r="W7" s="244">
        <v>0</v>
      </c>
      <c r="X7" s="248">
        <v>1</v>
      </c>
      <c r="Y7" s="248">
        <v>1</v>
      </c>
      <c r="Z7" s="248">
        <v>0</v>
      </c>
      <c r="AA7" s="452">
        <v>1</v>
      </c>
    </row>
    <row r="8" spans="2:27" s="3" customFormat="1" ht="26.25" customHeight="1">
      <c r="B8" s="878"/>
      <c r="C8" s="168" t="s">
        <v>446</v>
      </c>
      <c r="D8" s="247">
        <f t="shared" si="3"/>
        <v>428</v>
      </c>
      <c r="E8" s="248">
        <f t="shared" si="3"/>
        <v>48</v>
      </c>
      <c r="F8" s="248">
        <f>43+367</f>
        <v>410</v>
      </c>
      <c r="G8" s="248">
        <v>41</v>
      </c>
      <c r="H8" s="248">
        <f>1+17</f>
        <v>18</v>
      </c>
      <c r="I8" s="248">
        <v>7</v>
      </c>
      <c r="J8" s="248">
        <f t="shared" si="0"/>
        <v>17</v>
      </c>
      <c r="K8" s="248">
        <f t="shared" si="0"/>
        <v>5</v>
      </c>
      <c r="L8" s="249">
        <f t="shared" si="1"/>
        <v>94.44444444444444</v>
      </c>
      <c r="M8" s="249">
        <f t="shared" si="2"/>
        <v>71.42857142857143</v>
      </c>
      <c r="N8" s="248">
        <v>0</v>
      </c>
      <c r="O8" s="244">
        <v>0</v>
      </c>
      <c r="P8" s="244">
        <v>0</v>
      </c>
      <c r="Q8" s="244">
        <v>0</v>
      </c>
      <c r="R8" s="248">
        <v>3</v>
      </c>
      <c r="S8" s="248">
        <v>0</v>
      </c>
      <c r="T8" s="248">
        <v>2</v>
      </c>
      <c r="U8" s="248">
        <v>2</v>
      </c>
      <c r="V8" s="244">
        <v>0</v>
      </c>
      <c r="W8" s="244">
        <v>0</v>
      </c>
      <c r="X8" s="248">
        <v>10</v>
      </c>
      <c r="Y8" s="248">
        <v>2</v>
      </c>
      <c r="Z8" s="248">
        <v>2</v>
      </c>
      <c r="AA8" s="452">
        <v>1</v>
      </c>
    </row>
    <row r="9" spans="2:27" s="3" customFormat="1" ht="26.25" customHeight="1">
      <c r="B9" s="878"/>
      <c r="C9" s="168" t="s">
        <v>447</v>
      </c>
      <c r="D9" s="247">
        <f t="shared" si="3"/>
        <v>824</v>
      </c>
      <c r="E9" s="248">
        <f>G9+I9</f>
        <v>53</v>
      </c>
      <c r="F9" s="248">
        <f>89+687</f>
        <v>776</v>
      </c>
      <c r="G9" s="248">
        <v>45</v>
      </c>
      <c r="H9" s="248">
        <v>48</v>
      </c>
      <c r="I9" s="248">
        <v>8</v>
      </c>
      <c r="J9" s="248">
        <f>SUM(N9,P9,R9,T9,V9,X9,Z9)</f>
        <v>45</v>
      </c>
      <c r="K9" s="248">
        <f>+O9+Q9+S9+U9+W9+Y9+AA9</f>
        <v>4</v>
      </c>
      <c r="L9" s="249">
        <f t="shared" si="1"/>
        <v>93.75</v>
      </c>
      <c r="M9" s="249">
        <f t="shared" si="2"/>
        <v>50</v>
      </c>
      <c r="N9" s="248">
        <v>2</v>
      </c>
      <c r="O9" s="244">
        <v>0</v>
      </c>
      <c r="P9" s="244">
        <v>0</v>
      </c>
      <c r="Q9" s="244">
        <v>0</v>
      </c>
      <c r="R9" s="248">
        <v>5</v>
      </c>
      <c r="S9" s="248">
        <v>0</v>
      </c>
      <c r="T9" s="248">
        <v>3</v>
      </c>
      <c r="U9" s="248">
        <v>0</v>
      </c>
      <c r="V9" s="244">
        <v>0</v>
      </c>
      <c r="W9" s="244">
        <v>0</v>
      </c>
      <c r="X9" s="248">
        <v>22</v>
      </c>
      <c r="Y9" s="248">
        <v>3</v>
      </c>
      <c r="Z9" s="248">
        <v>13</v>
      </c>
      <c r="AA9" s="452">
        <v>1</v>
      </c>
    </row>
    <row r="10" spans="2:27" s="3" customFormat="1" ht="26.25" customHeight="1">
      <c r="B10" s="878"/>
      <c r="C10" s="168" t="s">
        <v>448</v>
      </c>
      <c r="D10" s="247">
        <f t="shared" si="3"/>
        <v>2390</v>
      </c>
      <c r="E10" s="248">
        <f>G10+I10</f>
        <v>90</v>
      </c>
      <c r="F10" s="248">
        <v>2218</v>
      </c>
      <c r="G10" s="248">
        <v>77</v>
      </c>
      <c r="H10" s="248">
        <v>172</v>
      </c>
      <c r="I10" s="248">
        <v>13</v>
      </c>
      <c r="J10" s="248">
        <f>SUM(N10,P10,R10,T10,V10,X10,Z10)</f>
        <v>157</v>
      </c>
      <c r="K10" s="248">
        <f>+O10+Q10+S10+U10+W10+Y10+AA10</f>
        <v>10</v>
      </c>
      <c r="L10" s="249">
        <f t="shared" si="1"/>
        <v>91.27906976744185</v>
      </c>
      <c r="M10" s="249">
        <f t="shared" si="2"/>
        <v>76.92307692307693</v>
      </c>
      <c r="N10" s="248">
        <v>12</v>
      </c>
      <c r="O10" s="244">
        <v>0</v>
      </c>
      <c r="P10" s="248">
        <v>3</v>
      </c>
      <c r="Q10" s="244">
        <v>0</v>
      </c>
      <c r="R10" s="248">
        <v>25</v>
      </c>
      <c r="S10" s="248">
        <v>0</v>
      </c>
      <c r="T10" s="248">
        <v>4</v>
      </c>
      <c r="U10" s="248">
        <v>1</v>
      </c>
      <c r="V10" s="244">
        <v>1</v>
      </c>
      <c r="W10" s="244">
        <v>0</v>
      </c>
      <c r="X10" s="248">
        <v>80</v>
      </c>
      <c r="Y10" s="248">
        <v>7</v>
      </c>
      <c r="Z10" s="248">
        <v>32</v>
      </c>
      <c r="AA10" s="452">
        <v>2</v>
      </c>
    </row>
    <row r="11" spans="2:27" s="3" customFormat="1" ht="26.25" customHeight="1">
      <c r="B11" s="878"/>
      <c r="C11" s="169" t="s">
        <v>449</v>
      </c>
      <c r="D11" s="247">
        <f t="shared" si="3"/>
        <v>2192</v>
      </c>
      <c r="E11" s="248">
        <f>G11+I11</f>
        <v>109</v>
      </c>
      <c r="F11" s="248">
        <v>2016</v>
      </c>
      <c r="G11" s="248">
        <v>85</v>
      </c>
      <c r="H11" s="248">
        <v>176</v>
      </c>
      <c r="I11" s="248">
        <v>24</v>
      </c>
      <c r="J11" s="248">
        <f>SUM(N11,P11,R11,T11,V11,X11,Z11)</f>
        <v>164</v>
      </c>
      <c r="K11" s="248">
        <f aca="true" t="shared" si="4" ref="K11:K23">+O11+Q11+S11+U11+W11+Y11+AA11</f>
        <v>16</v>
      </c>
      <c r="L11" s="249">
        <f t="shared" si="1"/>
        <v>93.18181818181817</v>
      </c>
      <c r="M11" s="249">
        <f t="shared" si="2"/>
        <v>66.66666666666666</v>
      </c>
      <c r="N11" s="248">
        <v>16</v>
      </c>
      <c r="O11" s="244">
        <v>0</v>
      </c>
      <c r="P11" s="244">
        <v>5</v>
      </c>
      <c r="Q11" s="244">
        <v>0</v>
      </c>
      <c r="R11" s="248">
        <v>17</v>
      </c>
      <c r="S11" s="248">
        <v>0</v>
      </c>
      <c r="T11" s="248">
        <v>13</v>
      </c>
      <c r="U11" s="244">
        <v>3</v>
      </c>
      <c r="V11" s="248">
        <v>1</v>
      </c>
      <c r="W11" s="244">
        <v>1</v>
      </c>
      <c r="X11" s="248">
        <v>95</v>
      </c>
      <c r="Y11" s="248">
        <v>12</v>
      </c>
      <c r="Z11" s="453">
        <v>17</v>
      </c>
      <c r="AA11" s="452">
        <v>0</v>
      </c>
    </row>
    <row r="12" spans="2:27" s="3" customFormat="1" ht="26.25" customHeight="1">
      <c r="B12" s="879"/>
      <c r="C12" s="169" t="s">
        <v>190</v>
      </c>
      <c r="D12" s="247">
        <f t="shared" si="3"/>
        <v>0</v>
      </c>
      <c r="E12" s="248">
        <f>G12+I12</f>
        <v>115</v>
      </c>
      <c r="F12" s="248">
        <v>0</v>
      </c>
      <c r="G12" s="248">
        <f>57+27</f>
        <v>84</v>
      </c>
      <c r="H12" s="248"/>
      <c r="I12" s="248">
        <f>18+13</f>
        <v>31</v>
      </c>
      <c r="J12" s="248">
        <f>SUM(N12,P12,R12,T12,V12,X12,Z12)</f>
        <v>0</v>
      </c>
      <c r="K12" s="248">
        <f>+O12+Q12+S12+U12+W12+Y12+AA12</f>
        <v>26</v>
      </c>
      <c r="L12" s="248">
        <f t="shared" si="1"/>
        <v>0</v>
      </c>
      <c r="M12" s="249">
        <f t="shared" si="2"/>
        <v>83.87096774193549</v>
      </c>
      <c r="N12" s="248">
        <v>0</v>
      </c>
      <c r="O12" s="244">
        <v>0</v>
      </c>
      <c r="P12" s="244">
        <v>0</v>
      </c>
      <c r="Q12" s="244">
        <v>0</v>
      </c>
      <c r="R12" s="248">
        <v>0</v>
      </c>
      <c r="S12" s="248">
        <v>0</v>
      </c>
      <c r="T12" s="248">
        <v>0</v>
      </c>
      <c r="U12" s="248">
        <f>1+2</f>
        <v>3</v>
      </c>
      <c r="V12" s="244">
        <v>0</v>
      </c>
      <c r="W12" s="244">
        <v>0</v>
      </c>
      <c r="X12" s="248">
        <v>0</v>
      </c>
      <c r="Y12" s="248">
        <f>10+8</f>
        <v>18</v>
      </c>
      <c r="Z12" s="453">
        <v>0</v>
      </c>
      <c r="AA12" s="452">
        <f>3+2</f>
        <v>5</v>
      </c>
    </row>
    <row r="13" spans="2:27" s="3" customFormat="1" ht="26.25" customHeight="1">
      <c r="B13" s="879"/>
      <c r="C13" s="33" t="s">
        <v>71</v>
      </c>
      <c r="D13" s="250">
        <f t="shared" si="3"/>
        <v>5939</v>
      </c>
      <c r="E13" s="251">
        <f t="shared" si="3"/>
        <v>589</v>
      </c>
      <c r="F13" s="251">
        <f>SUM(F5:F12)</f>
        <v>5524</v>
      </c>
      <c r="G13" s="251">
        <f>SUM(G5:G12)</f>
        <v>491</v>
      </c>
      <c r="H13" s="251">
        <f>SUM(H5:H12)</f>
        <v>415</v>
      </c>
      <c r="I13" s="251">
        <f>SUM(I5:I12)</f>
        <v>98</v>
      </c>
      <c r="J13" s="251">
        <f>+N13+P13+R13+T13+V13+X13+Z13</f>
        <v>384</v>
      </c>
      <c r="K13" s="251">
        <f>+O13+Q13+S13+U13+W13+Y13+AA13</f>
        <v>69</v>
      </c>
      <c r="L13" s="252">
        <f t="shared" si="1"/>
        <v>92.53012048192771</v>
      </c>
      <c r="M13" s="252">
        <f t="shared" si="2"/>
        <v>70.40816326530613</v>
      </c>
      <c r="N13" s="251">
        <f>SUM(N5:N12)</f>
        <v>30</v>
      </c>
      <c r="O13" s="251">
        <f aca="true" t="shared" si="5" ref="O13:U13">SUM(O5:O12)</f>
        <v>0</v>
      </c>
      <c r="P13" s="251">
        <f t="shared" si="5"/>
        <v>8</v>
      </c>
      <c r="Q13" s="251">
        <f t="shared" si="5"/>
        <v>0</v>
      </c>
      <c r="R13" s="251">
        <f t="shared" si="5"/>
        <v>50</v>
      </c>
      <c r="S13" s="251">
        <f t="shared" si="5"/>
        <v>0</v>
      </c>
      <c r="T13" s="251">
        <f t="shared" si="5"/>
        <v>22</v>
      </c>
      <c r="U13" s="251">
        <f t="shared" si="5"/>
        <v>11</v>
      </c>
      <c r="V13" s="251">
        <f aca="true" t="shared" si="6" ref="V13:AA13">SUM(V5:V12)</f>
        <v>2</v>
      </c>
      <c r="W13" s="251">
        <f t="shared" si="6"/>
        <v>1</v>
      </c>
      <c r="X13" s="251">
        <f t="shared" si="6"/>
        <v>208</v>
      </c>
      <c r="Y13" s="251">
        <f t="shared" si="6"/>
        <v>46</v>
      </c>
      <c r="Z13" s="251">
        <f t="shared" si="6"/>
        <v>64</v>
      </c>
      <c r="AA13" s="253">
        <f t="shared" si="6"/>
        <v>11</v>
      </c>
    </row>
    <row r="14" spans="2:27" s="3" customFormat="1" ht="26.25" customHeight="1">
      <c r="B14" s="876" t="s">
        <v>72</v>
      </c>
      <c r="C14" s="122" t="s">
        <v>189</v>
      </c>
      <c r="D14" s="254">
        <f t="shared" si="3"/>
        <v>0</v>
      </c>
      <c r="E14" s="255">
        <f t="shared" si="3"/>
        <v>232</v>
      </c>
      <c r="F14" s="255">
        <v>0</v>
      </c>
      <c r="G14" s="255">
        <v>223</v>
      </c>
      <c r="H14" s="255">
        <v>0</v>
      </c>
      <c r="I14" s="255">
        <v>9</v>
      </c>
      <c r="J14" s="255">
        <v>0</v>
      </c>
      <c r="K14" s="255">
        <f t="shared" si="4"/>
        <v>5</v>
      </c>
      <c r="L14" s="256">
        <f aca="true" t="shared" si="7" ref="L14:L22">IF(H14=0,0,J14/H14*100)</f>
        <v>0</v>
      </c>
      <c r="M14" s="257">
        <f aca="true" t="shared" si="8" ref="M14:M23">IF(I14=0,0,K14/I14*100)</f>
        <v>55.55555555555556</v>
      </c>
      <c r="N14" s="255">
        <v>0</v>
      </c>
      <c r="O14" s="255">
        <v>0</v>
      </c>
      <c r="P14" s="255">
        <v>0</v>
      </c>
      <c r="Q14" s="255">
        <v>0</v>
      </c>
      <c r="R14" s="255">
        <v>0</v>
      </c>
      <c r="S14" s="255">
        <v>0</v>
      </c>
      <c r="T14" s="255">
        <v>0</v>
      </c>
      <c r="U14" s="255">
        <v>1</v>
      </c>
      <c r="V14" s="255">
        <v>0</v>
      </c>
      <c r="W14" s="255">
        <v>0</v>
      </c>
      <c r="X14" s="255">
        <v>0</v>
      </c>
      <c r="Y14" s="255">
        <v>2</v>
      </c>
      <c r="Z14" s="255">
        <v>0</v>
      </c>
      <c r="AA14" s="454">
        <v>2</v>
      </c>
    </row>
    <row r="15" spans="2:27" s="3" customFormat="1" ht="26.25" customHeight="1">
      <c r="B15" s="877"/>
      <c r="C15" s="123" t="s">
        <v>450</v>
      </c>
      <c r="D15" s="243">
        <f t="shared" si="3"/>
        <v>0</v>
      </c>
      <c r="E15" s="244">
        <f t="shared" si="3"/>
        <v>266</v>
      </c>
      <c r="F15" s="244">
        <v>0</v>
      </c>
      <c r="G15" s="244">
        <v>260</v>
      </c>
      <c r="H15" s="244">
        <v>0</v>
      </c>
      <c r="I15" s="244">
        <v>6</v>
      </c>
      <c r="J15" s="244">
        <v>0</v>
      </c>
      <c r="K15" s="244">
        <f t="shared" si="4"/>
        <v>6</v>
      </c>
      <c r="L15" s="245">
        <f t="shared" si="7"/>
        <v>0</v>
      </c>
      <c r="M15" s="246">
        <f t="shared" si="8"/>
        <v>100</v>
      </c>
      <c r="N15" s="244">
        <v>0</v>
      </c>
      <c r="O15" s="248">
        <v>0</v>
      </c>
      <c r="P15" s="244">
        <v>0</v>
      </c>
      <c r="Q15" s="244">
        <v>0</v>
      </c>
      <c r="R15" s="244">
        <v>0</v>
      </c>
      <c r="S15" s="244">
        <v>0</v>
      </c>
      <c r="T15" s="244">
        <v>0</v>
      </c>
      <c r="U15" s="244">
        <v>0</v>
      </c>
      <c r="V15" s="244">
        <v>0</v>
      </c>
      <c r="W15" s="244">
        <v>0</v>
      </c>
      <c r="X15" s="244">
        <v>0</v>
      </c>
      <c r="Y15" s="244">
        <v>2</v>
      </c>
      <c r="Z15" s="244">
        <v>0</v>
      </c>
      <c r="AA15" s="451">
        <v>4</v>
      </c>
    </row>
    <row r="16" spans="2:27" s="3" customFormat="1" ht="26.25" customHeight="1">
      <c r="B16" s="878"/>
      <c r="C16" s="168" t="s">
        <v>451</v>
      </c>
      <c r="D16" s="247">
        <f t="shared" si="3"/>
        <v>389</v>
      </c>
      <c r="E16" s="248">
        <f t="shared" si="3"/>
        <v>178</v>
      </c>
      <c r="F16" s="248">
        <v>374</v>
      </c>
      <c r="G16" s="248">
        <v>166</v>
      </c>
      <c r="H16" s="248">
        <v>15</v>
      </c>
      <c r="I16" s="248">
        <v>12</v>
      </c>
      <c r="J16" s="244">
        <v>9</v>
      </c>
      <c r="K16" s="248">
        <f t="shared" si="4"/>
        <v>7</v>
      </c>
      <c r="L16" s="249">
        <f t="shared" si="7"/>
        <v>60</v>
      </c>
      <c r="M16" s="249">
        <f t="shared" si="8"/>
        <v>58.333333333333336</v>
      </c>
      <c r="N16" s="244">
        <v>1</v>
      </c>
      <c r="O16" s="248">
        <v>0</v>
      </c>
      <c r="P16" s="244">
        <v>0</v>
      </c>
      <c r="Q16" s="244">
        <v>0</v>
      </c>
      <c r="R16" s="244">
        <v>1</v>
      </c>
      <c r="S16" s="248">
        <v>0</v>
      </c>
      <c r="T16" s="248">
        <v>3</v>
      </c>
      <c r="U16" s="248">
        <v>3</v>
      </c>
      <c r="V16" s="244">
        <v>0</v>
      </c>
      <c r="W16" s="244">
        <v>0</v>
      </c>
      <c r="X16" s="248">
        <v>5</v>
      </c>
      <c r="Y16" s="248">
        <v>4</v>
      </c>
      <c r="Z16" s="248">
        <v>4</v>
      </c>
      <c r="AA16" s="452">
        <v>0</v>
      </c>
    </row>
    <row r="17" spans="2:27" s="3" customFormat="1" ht="26.25" customHeight="1">
      <c r="B17" s="878"/>
      <c r="C17" s="168" t="s">
        <v>452</v>
      </c>
      <c r="D17" s="247">
        <f t="shared" si="3"/>
        <v>1523</v>
      </c>
      <c r="E17" s="248">
        <f t="shared" si="3"/>
        <v>197</v>
      </c>
      <c r="F17" s="248">
        <v>1480</v>
      </c>
      <c r="G17" s="248">
        <v>185</v>
      </c>
      <c r="H17" s="248">
        <v>43</v>
      </c>
      <c r="I17" s="248">
        <v>12</v>
      </c>
      <c r="J17" s="244">
        <f>5+55</f>
        <v>60</v>
      </c>
      <c r="K17" s="248">
        <f t="shared" si="4"/>
        <v>10</v>
      </c>
      <c r="L17" s="249">
        <f t="shared" si="7"/>
        <v>139.53488372093022</v>
      </c>
      <c r="M17" s="249">
        <f t="shared" si="8"/>
        <v>83.33333333333334</v>
      </c>
      <c r="N17" s="248">
        <v>0</v>
      </c>
      <c r="O17" s="244">
        <v>0</v>
      </c>
      <c r="P17" s="244">
        <v>1</v>
      </c>
      <c r="Q17" s="244">
        <v>0</v>
      </c>
      <c r="R17" s="248">
        <v>6</v>
      </c>
      <c r="S17" s="248">
        <v>0</v>
      </c>
      <c r="T17" s="248">
        <v>3</v>
      </c>
      <c r="U17" s="248">
        <v>1</v>
      </c>
      <c r="V17" s="244">
        <v>0</v>
      </c>
      <c r="W17" s="248">
        <v>0</v>
      </c>
      <c r="X17" s="248">
        <v>23</v>
      </c>
      <c r="Y17" s="248">
        <v>5</v>
      </c>
      <c r="Z17" s="248">
        <v>10</v>
      </c>
      <c r="AA17" s="452">
        <v>4</v>
      </c>
    </row>
    <row r="18" spans="2:27" s="3" customFormat="1" ht="26.25" customHeight="1">
      <c r="B18" s="878"/>
      <c r="C18" s="168" t="s">
        <v>447</v>
      </c>
      <c r="D18" s="247">
        <f t="shared" si="3"/>
        <v>2341</v>
      </c>
      <c r="E18" s="248">
        <f t="shared" si="3"/>
        <v>208</v>
      </c>
      <c r="F18" s="248">
        <v>2248</v>
      </c>
      <c r="G18" s="248">
        <v>194</v>
      </c>
      <c r="H18" s="248">
        <v>93</v>
      </c>
      <c r="I18" s="248">
        <v>14</v>
      </c>
      <c r="J18" s="244">
        <f>13+77</f>
        <v>90</v>
      </c>
      <c r="K18" s="248">
        <f t="shared" si="4"/>
        <v>12</v>
      </c>
      <c r="L18" s="249">
        <f t="shared" si="7"/>
        <v>96.7741935483871</v>
      </c>
      <c r="M18" s="249">
        <f t="shared" si="8"/>
        <v>85.71428571428571</v>
      </c>
      <c r="N18" s="248">
        <v>1</v>
      </c>
      <c r="O18" s="244">
        <v>0</v>
      </c>
      <c r="P18" s="244">
        <v>0</v>
      </c>
      <c r="Q18" s="244">
        <v>0</v>
      </c>
      <c r="R18" s="248">
        <v>5</v>
      </c>
      <c r="S18" s="248">
        <v>0</v>
      </c>
      <c r="T18" s="248">
        <v>6</v>
      </c>
      <c r="U18" s="248">
        <v>0</v>
      </c>
      <c r="V18" s="248">
        <v>0</v>
      </c>
      <c r="W18" s="248">
        <v>0</v>
      </c>
      <c r="X18" s="248">
        <v>55</v>
      </c>
      <c r="Y18" s="248">
        <v>11</v>
      </c>
      <c r="Z18" s="248">
        <v>13</v>
      </c>
      <c r="AA18" s="452">
        <v>1</v>
      </c>
    </row>
    <row r="19" spans="2:27" s="3" customFormat="1" ht="26.25" customHeight="1">
      <c r="B19" s="878"/>
      <c r="C19" s="168" t="s">
        <v>448</v>
      </c>
      <c r="D19" s="247">
        <f t="shared" si="3"/>
        <v>3872</v>
      </c>
      <c r="E19" s="248">
        <f t="shared" si="3"/>
        <v>186</v>
      </c>
      <c r="F19" s="248">
        <v>3697</v>
      </c>
      <c r="G19" s="248">
        <v>169</v>
      </c>
      <c r="H19" s="248">
        <v>175</v>
      </c>
      <c r="I19" s="248">
        <v>17</v>
      </c>
      <c r="J19" s="244">
        <f>15+183</f>
        <v>198</v>
      </c>
      <c r="K19" s="248">
        <f t="shared" si="4"/>
        <v>14</v>
      </c>
      <c r="L19" s="249">
        <f t="shared" si="7"/>
        <v>113.14285714285714</v>
      </c>
      <c r="M19" s="249">
        <f t="shared" si="8"/>
        <v>82.35294117647058</v>
      </c>
      <c r="N19" s="248">
        <v>7</v>
      </c>
      <c r="O19" s="244">
        <v>0</v>
      </c>
      <c r="P19" s="244">
        <v>2</v>
      </c>
      <c r="Q19" s="244">
        <v>0</v>
      </c>
      <c r="R19" s="248">
        <v>21</v>
      </c>
      <c r="S19" s="248">
        <v>0</v>
      </c>
      <c r="T19" s="248">
        <v>14</v>
      </c>
      <c r="U19" s="248">
        <v>1</v>
      </c>
      <c r="V19" s="248">
        <v>0</v>
      </c>
      <c r="W19" s="244">
        <v>0</v>
      </c>
      <c r="X19" s="248">
        <v>96</v>
      </c>
      <c r="Y19" s="248">
        <v>11</v>
      </c>
      <c r="Z19" s="248">
        <v>21</v>
      </c>
      <c r="AA19" s="452">
        <v>2</v>
      </c>
    </row>
    <row r="20" spans="2:27" s="3" customFormat="1" ht="26.25" customHeight="1">
      <c r="B20" s="878"/>
      <c r="C20" s="169" t="s">
        <v>449</v>
      </c>
      <c r="D20" s="247">
        <f t="shared" si="3"/>
        <v>2973</v>
      </c>
      <c r="E20" s="248">
        <f t="shared" si="3"/>
        <v>168</v>
      </c>
      <c r="F20" s="248">
        <v>2832</v>
      </c>
      <c r="G20" s="248">
        <v>146</v>
      </c>
      <c r="H20" s="248">
        <v>141</v>
      </c>
      <c r="I20" s="248">
        <v>22</v>
      </c>
      <c r="J20" s="244">
        <f>11+150</f>
        <v>161</v>
      </c>
      <c r="K20" s="248">
        <f t="shared" si="4"/>
        <v>18</v>
      </c>
      <c r="L20" s="249">
        <f t="shared" si="7"/>
        <v>114.18439716312056</v>
      </c>
      <c r="M20" s="249">
        <f t="shared" si="8"/>
        <v>81.81818181818183</v>
      </c>
      <c r="N20" s="248">
        <v>4</v>
      </c>
      <c r="O20" s="244">
        <v>0</v>
      </c>
      <c r="P20" s="244">
        <v>1</v>
      </c>
      <c r="Q20" s="244">
        <v>0</v>
      </c>
      <c r="R20" s="248">
        <v>16</v>
      </c>
      <c r="S20" s="248">
        <v>0</v>
      </c>
      <c r="T20" s="248">
        <v>19</v>
      </c>
      <c r="U20" s="248">
        <v>3</v>
      </c>
      <c r="V20" s="248">
        <v>0</v>
      </c>
      <c r="W20" s="244">
        <v>0</v>
      </c>
      <c r="X20" s="248">
        <v>67</v>
      </c>
      <c r="Y20" s="248">
        <v>13</v>
      </c>
      <c r="Z20" s="248">
        <v>24</v>
      </c>
      <c r="AA20" s="452">
        <v>2</v>
      </c>
    </row>
    <row r="21" spans="2:27" s="3" customFormat="1" ht="26.25" customHeight="1">
      <c r="B21" s="879"/>
      <c r="C21" s="169" t="s">
        <v>190</v>
      </c>
      <c r="D21" s="247">
        <f t="shared" si="3"/>
        <v>0</v>
      </c>
      <c r="E21" s="248">
        <f t="shared" si="3"/>
        <v>115</v>
      </c>
      <c r="F21" s="248">
        <v>0</v>
      </c>
      <c r="G21" s="248">
        <f>71+33</f>
        <v>104</v>
      </c>
      <c r="H21" s="248">
        <v>0</v>
      </c>
      <c r="I21" s="248">
        <f>8+3</f>
        <v>11</v>
      </c>
      <c r="J21" s="244">
        <f>SUM(N21,P21,R21,T21,V21,X21,Z21)</f>
        <v>0</v>
      </c>
      <c r="K21" s="248">
        <f t="shared" si="4"/>
        <v>9</v>
      </c>
      <c r="L21" s="248">
        <f t="shared" si="7"/>
        <v>0</v>
      </c>
      <c r="M21" s="249">
        <f t="shared" si="8"/>
        <v>81.81818181818183</v>
      </c>
      <c r="N21" s="248">
        <v>0</v>
      </c>
      <c r="O21" s="244">
        <v>0</v>
      </c>
      <c r="P21" s="244">
        <v>0</v>
      </c>
      <c r="Q21" s="244">
        <v>0</v>
      </c>
      <c r="R21" s="248">
        <v>0</v>
      </c>
      <c r="S21" s="248">
        <v>0</v>
      </c>
      <c r="T21" s="248">
        <v>0</v>
      </c>
      <c r="U21" s="248">
        <f>0+1</f>
        <v>1</v>
      </c>
      <c r="V21" s="248">
        <v>0</v>
      </c>
      <c r="W21" s="244">
        <v>0</v>
      </c>
      <c r="X21" s="248">
        <v>0</v>
      </c>
      <c r="Y21" s="248">
        <f>5+2</f>
        <v>7</v>
      </c>
      <c r="Z21" s="248">
        <v>0</v>
      </c>
      <c r="AA21" s="452">
        <v>1</v>
      </c>
    </row>
    <row r="22" spans="2:27" s="3" customFormat="1" ht="26.25" customHeight="1">
      <c r="B22" s="880"/>
      <c r="C22" s="34" t="s">
        <v>71</v>
      </c>
      <c r="D22" s="258">
        <f>F22+H22</f>
        <v>11098</v>
      </c>
      <c r="E22" s="259">
        <f>G22+I22</f>
        <v>1550</v>
      </c>
      <c r="F22" s="260">
        <f>SUM(F14:F21)</f>
        <v>10631</v>
      </c>
      <c r="G22" s="251">
        <f>SUM(G14:G21)</f>
        <v>1447</v>
      </c>
      <c r="H22" s="251">
        <f>SUM(H14:H21)</f>
        <v>467</v>
      </c>
      <c r="I22" s="251">
        <f>SUM(I14:I21)</f>
        <v>103</v>
      </c>
      <c r="J22" s="251">
        <f>+N22+P22+R22+T22+V22+X22+Z22</f>
        <v>429</v>
      </c>
      <c r="K22" s="251">
        <f t="shared" si="4"/>
        <v>81</v>
      </c>
      <c r="L22" s="261">
        <f t="shared" si="7"/>
        <v>91.86295503211991</v>
      </c>
      <c r="M22" s="261">
        <f t="shared" si="8"/>
        <v>78.64077669902912</v>
      </c>
      <c r="N22" s="259">
        <f>SUM(N14:N21)</f>
        <v>13</v>
      </c>
      <c r="O22" s="259">
        <f aca="true" t="shared" si="9" ref="O22:AA22">SUM(O14:O21)</f>
        <v>0</v>
      </c>
      <c r="P22" s="259">
        <f t="shared" si="9"/>
        <v>4</v>
      </c>
      <c r="Q22" s="259">
        <f t="shared" si="9"/>
        <v>0</v>
      </c>
      <c r="R22" s="259">
        <f>SUM(R14:R21)</f>
        <v>49</v>
      </c>
      <c r="S22" s="259">
        <f t="shared" si="9"/>
        <v>0</v>
      </c>
      <c r="T22" s="259">
        <f t="shared" si="9"/>
        <v>45</v>
      </c>
      <c r="U22" s="259">
        <f t="shared" si="9"/>
        <v>10</v>
      </c>
      <c r="V22" s="259">
        <f t="shared" si="9"/>
        <v>0</v>
      </c>
      <c r="W22" s="259">
        <f t="shared" si="9"/>
        <v>0</v>
      </c>
      <c r="X22" s="259">
        <f t="shared" si="9"/>
        <v>246</v>
      </c>
      <c r="Y22" s="259">
        <f t="shared" si="9"/>
        <v>55</v>
      </c>
      <c r="Z22" s="259">
        <f t="shared" si="9"/>
        <v>72</v>
      </c>
      <c r="AA22" s="262">
        <f t="shared" si="9"/>
        <v>16</v>
      </c>
    </row>
    <row r="23" spans="2:27" s="3" customFormat="1" ht="26.25" customHeight="1">
      <c r="B23" s="889" t="s">
        <v>73</v>
      </c>
      <c r="C23" s="890"/>
      <c r="D23" s="263">
        <f>D13+D22</f>
        <v>17037</v>
      </c>
      <c r="E23" s="264">
        <f>G23+I23</f>
        <v>2139</v>
      </c>
      <c r="F23" s="265">
        <f>F13+F22</f>
        <v>16155</v>
      </c>
      <c r="G23" s="266">
        <f>G13+G22</f>
        <v>1938</v>
      </c>
      <c r="H23" s="266">
        <f>H13+H22</f>
        <v>882</v>
      </c>
      <c r="I23" s="266">
        <f>I13+I22</f>
        <v>201</v>
      </c>
      <c r="J23" s="266">
        <f>+N23+P23+R23+T23+V23+X23+Z23</f>
        <v>813</v>
      </c>
      <c r="K23" s="266">
        <f t="shared" si="4"/>
        <v>150</v>
      </c>
      <c r="L23" s="267">
        <f>IF(H23=0,0,J23/H23*100)</f>
        <v>92.17687074829932</v>
      </c>
      <c r="M23" s="267">
        <f t="shared" si="8"/>
        <v>74.6268656716418</v>
      </c>
      <c r="N23" s="264">
        <f>N13+N22</f>
        <v>43</v>
      </c>
      <c r="O23" s="264">
        <f aca="true" t="shared" si="10" ref="O23:AA23">O13+O22</f>
        <v>0</v>
      </c>
      <c r="P23" s="264">
        <f t="shared" si="10"/>
        <v>12</v>
      </c>
      <c r="Q23" s="264">
        <f>Q13+Q22</f>
        <v>0</v>
      </c>
      <c r="R23" s="264">
        <f>R13+R22</f>
        <v>99</v>
      </c>
      <c r="S23" s="264">
        <f t="shared" si="10"/>
        <v>0</v>
      </c>
      <c r="T23" s="264">
        <f>T13+T22</f>
        <v>67</v>
      </c>
      <c r="U23" s="264">
        <f t="shared" si="10"/>
        <v>21</v>
      </c>
      <c r="V23" s="264">
        <f t="shared" si="10"/>
        <v>2</v>
      </c>
      <c r="W23" s="264">
        <f t="shared" si="10"/>
        <v>1</v>
      </c>
      <c r="X23" s="264">
        <f t="shared" si="10"/>
        <v>454</v>
      </c>
      <c r="Y23" s="264">
        <f t="shared" si="10"/>
        <v>101</v>
      </c>
      <c r="Z23" s="264">
        <f t="shared" si="10"/>
        <v>136</v>
      </c>
      <c r="AA23" s="268">
        <f t="shared" si="10"/>
        <v>27</v>
      </c>
    </row>
    <row r="24" spans="4:27" s="3" customFormat="1" ht="19.5" customHeight="1">
      <c r="D24" s="35"/>
      <c r="E24" s="35"/>
      <c r="F24" s="35"/>
      <c r="G24" s="35"/>
      <c r="H24" s="35"/>
      <c r="I24" s="35"/>
      <c r="J24" s="35"/>
      <c r="K24" s="35"/>
      <c r="L24" s="37"/>
      <c r="M24" s="37"/>
      <c r="N24" s="888" t="s">
        <v>333</v>
      </c>
      <c r="O24" s="888"/>
      <c r="P24" s="888"/>
      <c r="Q24" s="888"/>
      <c r="R24" s="888"/>
      <c r="S24" s="888"/>
      <c r="T24" s="888"/>
      <c r="U24" s="888"/>
      <c r="V24" s="888"/>
      <c r="W24" s="888"/>
      <c r="X24" s="888"/>
      <c r="Y24" s="888"/>
      <c r="Z24" s="888"/>
      <c r="AA24" s="888"/>
    </row>
    <row r="87" ht="15" customHeight="1"/>
    <row r="88" ht="15" customHeight="1"/>
    <row r="89" ht="15" customHeight="1"/>
    <row r="90" ht="15" customHeight="1"/>
    <row r="91" ht="15" customHeight="1"/>
    <row r="92" ht="15" customHeight="1"/>
  </sheetData>
  <sheetProtection/>
  <mergeCells count="20">
    <mergeCell ref="N24:AA24"/>
    <mergeCell ref="B23:C23"/>
    <mergeCell ref="A1:M1"/>
    <mergeCell ref="C2:C4"/>
    <mergeCell ref="B2:B4"/>
    <mergeCell ref="D2:E3"/>
    <mergeCell ref="F2:G3"/>
    <mergeCell ref="H2:I3"/>
    <mergeCell ref="J2:K3"/>
    <mergeCell ref="B5:B13"/>
    <mergeCell ref="B14:B22"/>
    <mergeCell ref="L2:M3"/>
    <mergeCell ref="N2:AA2"/>
    <mergeCell ref="N3:O3"/>
    <mergeCell ref="P3:Q3"/>
    <mergeCell ref="R3:S3"/>
    <mergeCell ref="T3:U3"/>
    <mergeCell ref="V3:W3"/>
    <mergeCell ref="X3:Y3"/>
    <mergeCell ref="Z3:AA3"/>
  </mergeCells>
  <printOptions/>
  <pageMargins left="0.42" right="0.2" top="0.49" bottom="0.51" header="0.31496062992125984" footer="0.31496062992125984"/>
  <pageSetup firstPageNumber="80" useFirstPageNumber="1" fitToHeight="1" fitToWidth="1" horizontalDpi="600" verticalDpi="600" orientation="landscape" paperSize="9" scale="85" r:id="rId3"/>
  <headerFooter>
    <oddFooter>&amp;C&amp;P</oddFooter>
  </headerFooter>
  <colBreaks count="1" manualBreakCount="1">
    <brk id="15"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A31"/>
  <sheetViews>
    <sheetView view="pageBreakPreview" zoomScaleSheetLayoutView="100" zoomScalePageLayoutView="0" workbookViewId="0" topLeftCell="A1">
      <selection activeCell="G9" sqref="G9"/>
    </sheetView>
  </sheetViews>
  <sheetFormatPr defaultColWidth="9.00390625" defaultRowHeight="19.5" customHeight="1"/>
  <cols>
    <col min="1" max="1" width="1.625" style="1" customWidth="1"/>
    <col min="2" max="2" width="3.50390625" style="1" bestFit="1" customWidth="1"/>
    <col min="3" max="3" width="10.00390625" style="1" customWidth="1"/>
    <col min="4" max="7" width="6.875" style="1" customWidth="1"/>
    <col min="8" max="11" width="6.25390625" style="1" customWidth="1"/>
    <col min="12" max="13" width="6.25390625" style="46" customWidth="1"/>
    <col min="14" max="27" width="6.25390625" style="1" customWidth="1"/>
    <col min="28" max="16384" width="9.00390625" style="1" customWidth="1"/>
  </cols>
  <sheetData>
    <row r="1" spans="1:13" ht="19.5" customHeight="1">
      <c r="A1" s="790" t="s">
        <v>344</v>
      </c>
      <c r="B1" s="790"/>
      <c r="C1" s="790"/>
      <c r="D1" s="790"/>
      <c r="E1" s="790"/>
      <c r="F1" s="790"/>
      <c r="G1" s="790"/>
      <c r="H1" s="790"/>
      <c r="I1" s="790"/>
      <c r="J1" s="790"/>
      <c r="K1" s="790"/>
      <c r="L1" s="790"/>
      <c r="M1" s="790"/>
    </row>
    <row r="2" spans="2:27" s="3" customFormat="1" ht="13.5" customHeight="1">
      <c r="B2" s="855" t="s">
        <v>74</v>
      </c>
      <c r="C2" s="856"/>
      <c r="D2" s="897" t="s">
        <v>54</v>
      </c>
      <c r="E2" s="883"/>
      <c r="F2" s="883" t="s">
        <v>528</v>
      </c>
      <c r="G2" s="883"/>
      <c r="H2" s="883" t="s">
        <v>55</v>
      </c>
      <c r="I2" s="883"/>
      <c r="J2" s="883" t="s">
        <v>84</v>
      </c>
      <c r="K2" s="883"/>
      <c r="L2" s="881" t="s">
        <v>79</v>
      </c>
      <c r="M2" s="881"/>
      <c r="N2" s="883" t="s">
        <v>529</v>
      </c>
      <c r="O2" s="883"/>
      <c r="P2" s="910" t="s">
        <v>80</v>
      </c>
      <c r="Q2" s="911"/>
      <c r="R2" s="911"/>
      <c r="S2" s="911"/>
      <c r="T2" s="911"/>
      <c r="U2" s="911"/>
      <c r="V2" s="911"/>
      <c r="W2" s="911"/>
      <c r="X2" s="911"/>
      <c r="Y2" s="911"/>
      <c r="Z2" s="911"/>
      <c r="AA2" s="912"/>
    </row>
    <row r="3" spans="2:27" s="3" customFormat="1" ht="63" customHeight="1">
      <c r="B3" s="906"/>
      <c r="C3" s="892"/>
      <c r="D3" s="898"/>
      <c r="E3" s="885"/>
      <c r="F3" s="885"/>
      <c r="G3" s="885"/>
      <c r="H3" s="885"/>
      <c r="I3" s="885"/>
      <c r="J3" s="885"/>
      <c r="K3" s="885"/>
      <c r="L3" s="882"/>
      <c r="M3" s="882"/>
      <c r="N3" s="885"/>
      <c r="O3" s="885"/>
      <c r="P3" s="885" t="s">
        <v>454</v>
      </c>
      <c r="Q3" s="885"/>
      <c r="R3" s="905" t="s">
        <v>455</v>
      </c>
      <c r="S3" s="905"/>
      <c r="T3" s="885" t="s">
        <v>601</v>
      </c>
      <c r="U3" s="885"/>
      <c r="V3" s="885" t="s">
        <v>602</v>
      </c>
      <c r="W3" s="885"/>
      <c r="X3" s="905" t="s">
        <v>85</v>
      </c>
      <c r="Y3" s="905"/>
      <c r="Z3" s="885" t="s">
        <v>75</v>
      </c>
      <c r="AA3" s="887"/>
    </row>
    <row r="4" spans="2:27" s="3" customFormat="1" ht="19.5" customHeight="1">
      <c r="B4" s="907"/>
      <c r="C4" s="893"/>
      <c r="D4" s="101" t="s">
        <v>57</v>
      </c>
      <c r="E4" s="102" t="s">
        <v>58</v>
      </c>
      <c r="F4" s="102" t="s">
        <v>57</v>
      </c>
      <c r="G4" s="102" t="s">
        <v>58</v>
      </c>
      <c r="H4" s="102" t="s">
        <v>57</v>
      </c>
      <c r="I4" s="102" t="s">
        <v>58</v>
      </c>
      <c r="J4" s="102" t="s">
        <v>57</v>
      </c>
      <c r="K4" s="102" t="s">
        <v>58</v>
      </c>
      <c r="L4" s="102" t="s">
        <v>57</v>
      </c>
      <c r="M4" s="102" t="s">
        <v>58</v>
      </c>
      <c r="N4" s="102" t="s">
        <v>57</v>
      </c>
      <c r="O4" s="102" t="s">
        <v>58</v>
      </c>
      <c r="P4" s="102" t="s">
        <v>57</v>
      </c>
      <c r="Q4" s="102" t="s">
        <v>58</v>
      </c>
      <c r="R4" s="102" t="s">
        <v>57</v>
      </c>
      <c r="S4" s="102" t="s">
        <v>58</v>
      </c>
      <c r="T4" s="102" t="s">
        <v>57</v>
      </c>
      <c r="U4" s="102" t="s">
        <v>58</v>
      </c>
      <c r="V4" s="102" t="s">
        <v>57</v>
      </c>
      <c r="W4" s="102" t="s">
        <v>58</v>
      </c>
      <c r="X4" s="102" t="s">
        <v>57</v>
      </c>
      <c r="Y4" s="102" t="s">
        <v>58</v>
      </c>
      <c r="Z4" s="102" t="s">
        <v>57</v>
      </c>
      <c r="AA4" s="103" t="s">
        <v>58</v>
      </c>
    </row>
    <row r="5" spans="2:27" s="3" customFormat="1" ht="22.5" customHeight="1">
      <c r="B5" s="908" t="s">
        <v>530</v>
      </c>
      <c r="C5" s="909"/>
      <c r="D5" s="243">
        <f>F5+H5+J5</f>
        <v>248</v>
      </c>
      <c r="E5" s="243">
        <f>G5+I5+K5</f>
        <v>16</v>
      </c>
      <c r="F5" s="244">
        <v>218</v>
      </c>
      <c r="G5" s="244">
        <v>16</v>
      </c>
      <c r="H5" s="244">
        <v>30</v>
      </c>
      <c r="I5" s="244">
        <v>0</v>
      </c>
      <c r="J5" s="244">
        <v>0</v>
      </c>
      <c r="K5" s="244">
        <v>0</v>
      </c>
      <c r="L5" s="244">
        <f>+P5+R5+T5+V5+X5+Z5</f>
        <v>28</v>
      </c>
      <c r="M5" s="244">
        <f>+Q5+S5+U5+W5+Y5+AA5</f>
        <v>0</v>
      </c>
      <c r="N5" s="269">
        <f>IF(H5=0,0,L5/H5*100)</f>
        <v>93.33333333333333</v>
      </c>
      <c r="O5" s="269">
        <f>IF(I5=0,0,M5/I5*100)</f>
        <v>0</v>
      </c>
      <c r="P5" s="244">
        <v>0</v>
      </c>
      <c r="Q5" s="244">
        <v>0</v>
      </c>
      <c r="R5" s="244">
        <v>0</v>
      </c>
      <c r="S5" s="244">
        <v>0</v>
      </c>
      <c r="T5" s="244">
        <v>0</v>
      </c>
      <c r="U5" s="244">
        <v>0</v>
      </c>
      <c r="V5" s="244">
        <f>1+19</f>
        <v>20</v>
      </c>
      <c r="W5" s="244">
        <v>0</v>
      </c>
      <c r="X5" s="244">
        <v>7</v>
      </c>
      <c r="Y5" s="244">
        <v>0</v>
      </c>
      <c r="Z5" s="244">
        <v>1</v>
      </c>
      <c r="AA5" s="451">
        <v>0</v>
      </c>
    </row>
    <row r="6" spans="2:27" s="3" customFormat="1" ht="22.5" customHeight="1">
      <c r="B6" s="908" t="s">
        <v>531</v>
      </c>
      <c r="C6" s="909"/>
      <c r="D6" s="243">
        <f>F6+H6+J6</f>
        <v>408</v>
      </c>
      <c r="E6" s="243">
        <f>G6+I6+K6</f>
        <v>71</v>
      </c>
      <c r="F6" s="244">
        <v>370</v>
      </c>
      <c r="G6" s="244">
        <v>68</v>
      </c>
      <c r="H6" s="244">
        <v>38</v>
      </c>
      <c r="I6" s="244">
        <v>3</v>
      </c>
      <c r="J6" s="244">
        <v>0</v>
      </c>
      <c r="K6" s="244">
        <v>0</v>
      </c>
      <c r="L6" s="244">
        <f aca="true" t="shared" si="0" ref="L6:L15">+P6+R6+T6+V6+X6+Z6</f>
        <v>34</v>
      </c>
      <c r="M6" s="244">
        <f aca="true" t="shared" si="1" ref="M6:M15">+Q6+S6+U6+W6+Y6+AA6</f>
        <v>3</v>
      </c>
      <c r="N6" s="269">
        <f aca="true" t="shared" si="2" ref="N6:N15">IF(H6=0,0,L6/H6*100)</f>
        <v>89.47368421052632</v>
      </c>
      <c r="O6" s="269">
        <f aca="true" t="shared" si="3" ref="O6:O15">IF(I6=0,0,M6/I6*100)</f>
        <v>100</v>
      </c>
      <c r="P6" s="244">
        <v>0</v>
      </c>
      <c r="Q6" s="244">
        <v>0</v>
      </c>
      <c r="R6" s="244">
        <v>0</v>
      </c>
      <c r="S6" s="244">
        <v>0</v>
      </c>
      <c r="T6" s="244">
        <v>0</v>
      </c>
      <c r="U6" s="244">
        <v>0</v>
      </c>
      <c r="V6" s="244">
        <f>1+1+1+24</f>
        <v>27</v>
      </c>
      <c r="W6" s="244">
        <v>1</v>
      </c>
      <c r="X6" s="244">
        <v>5</v>
      </c>
      <c r="Y6" s="244">
        <v>1</v>
      </c>
      <c r="Z6" s="244">
        <v>2</v>
      </c>
      <c r="AA6" s="451">
        <v>1</v>
      </c>
    </row>
    <row r="7" spans="2:27" s="3" customFormat="1" ht="22.5" customHeight="1">
      <c r="B7" s="908" t="s">
        <v>532</v>
      </c>
      <c r="C7" s="909"/>
      <c r="D7" s="243">
        <f aca="true" t="shared" si="4" ref="D7:E14">F7+H7+J7</f>
        <v>698</v>
      </c>
      <c r="E7" s="243">
        <f t="shared" si="4"/>
        <v>176</v>
      </c>
      <c r="F7" s="244">
        <v>649</v>
      </c>
      <c r="G7" s="244">
        <v>171</v>
      </c>
      <c r="H7" s="244">
        <v>49</v>
      </c>
      <c r="I7" s="244">
        <v>5</v>
      </c>
      <c r="J7" s="244">
        <v>0</v>
      </c>
      <c r="K7" s="244">
        <v>0</v>
      </c>
      <c r="L7" s="244">
        <f t="shared" si="0"/>
        <v>45</v>
      </c>
      <c r="M7" s="244">
        <f t="shared" si="1"/>
        <v>4</v>
      </c>
      <c r="N7" s="269">
        <f t="shared" si="2"/>
        <v>91.83673469387756</v>
      </c>
      <c r="O7" s="269">
        <f t="shared" si="3"/>
        <v>80</v>
      </c>
      <c r="P7" s="244">
        <v>1</v>
      </c>
      <c r="Q7" s="244">
        <v>0</v>
      </c>
      <c r="R7" s="244">
        <v>0</v>
      </c>
      <c r="S7" s="244">
        <v>0</v>
      </c>
      <c r="T7" s="244">
        <v>0</v>
      </c>
      <c r="U7" s="244">
        <v>0</v>
      </c>
      <c r="V7" s="244">
        <f>2+9+22</f>
        <v>33</v>
      </c>
      <c r="W7" s="244">
        <v>3</v>
      </c>
      <c r="X7" s="244">
        <v>9</v>
      </c>
      <c r="Y7" s="244">
        <v>0</v>
      </c>
      <c r="Z7" s="244">
        <v>2</v>
      </c>
      <c r="AA7" s="451">
        <v>1</v>
      </c>
    </row>
    <row r="8" spans="2:27" s="3" customFormat="1" ht="22.5" customHeight="1">
      <c r="B8" s="908" t="s">
        <v>533</v>
      </c>
      <c r="C8" s="909"/>
      <c r="D8" s="243">
        <f t="shared" si="4"/>
        <v>866</v>
      </c>
      <c r="E8" s="243">
        <f t="shared" si="4"/>
        <v>268</v>
      </c>
      <c r="F8" s="244">
        <v>826</v>
      </c>
      <c r="G8" s="244">
        <v>262</v>
      </c>
      <c r="H8" s="244">
        <v>40</v>
      </c>
      <c r="I8" s="244">
        <v>6</v>
      </c>
      <c r="J8" s="244">
        <v>0</v>
      </c>
      <c r="K8" s="244">
        <v>0</v>
      </c>
      <c r="L8" s="244">
        <f t="shared" si="0"/>
        <v>36</v>
      </c>
      <c r="M8" s="244">
        <f t="shared" si="1"/>
        <v>6</v>
      </c>
      <c r="N8" s="269">
        <f t="shared" si="2"/>
        <v>90</v>
      </c>
      <c r="O8" s="269">
        <f t="shared" si="3"/>
        <v>100</v>
      </c>
      <c r="P8" s="244">
        <v>1</v>
      </c>
      <c r="Q8" s="244">
        <v>0</v>
      </c>
      <c r="R8" s="244">
        <v>0</v>
      </c>
      <c r="S8" s="244">
        <v>0</v>
      </c>
      <c r="T8" s="244">
        <v>1</v>
      </c>
      <c r="U8" s="244">
        <v>0</v>
      </c>
      <c r="V8" s="244">
        <f>2+6+1+16</f>
        <v>25</v>
      </c>
      <c r="W8" s="244">
        <f>2+1+3</f>
        <v>6</v>
      </c>
      <c r="X8" s="244">
        <v>8</v>
      </c>
      <c r="Y8" s="244">
        <v>0</v>
      </c>
      <c r="Z8" s="244">
        <v>1</v>
      </c>
      <c r="AA8" s="451">
        <v>0</v>
      </c>
    </row>
    <row r="9" spans="2:27" s="3" customFormat="1" ht="22.5" customHeight="1">
      <c r="B9" s="903" t="s">
        <v>534</v>
      </c>
      <c r="C9" s="904"/>
      <c r="D9" s="243">
        <f t="shared" si="4"/>
        <v>1185</v>
      </c>
      <c r="E9" s="243">
        <f t="shared" si="4"/>
        <v>498</v>
      </c>
      <c r="F9" s="248">
        <v>1145</v>
      </c>
      <c r="G9" s="248">
        <v>492</v>
      </c>
      <c r="H9" s="248">
        <v>40</v>
      </c>
      <c r="I9" s="248">
        <v>6</v>
      </c>
      <c r="J9" s="248">
        <v>0</v>
      </c>
      <c r="K9" s="248">
        <v>0</v>
      </c>
      <c r="L9" s="244">
        <f t="shared" si="0"/>
        <v>34</v>
      </c>
      <c r="M9" s="244">
        <f t="shared" si="1"/>
        <v>5</v>
      </c>
      <c r="N9" s="455">
        <f t="shared" si="2"/>
        <v>85</v>
      </c>
      <c r="O9" s="455">
        <f t="shared" si="3"/>
        <v>83.33333333333334</v>
      </c>
      <c r="P9" s="248">
        <v>1</v>
      </c>
      <c r="Q9" s="248">
        <v>1</v>
      </c>
      <c r="R9" s="248">
        <v>0</v>
      </c>
      <c r="S9" s="248">
        <v>0</v>
      </c>
      <c r="T9" s="248">
        <v>0</v>
      </c>
      <c r="U9" s="248">
        <v>0</v>
      </c>
      <c r="V9" s="248">
        <f>1+3+19</f>
        <v>23</v>
      </c>
      <c r="W9" s="248">
        <v>3</v>
      </c>
      <c r="X9" s="248">
        <v>7</v>
      </c>
      <c r="Y9" s="248">
        <v>1</v>
      </c>
      <c r="Z9" s="248">
        <v>3</v>
      </c>
      <c r="AA9" s="452">
        <v>0</v>
      </c>
    </row>
    <row r="10" spans="2:27" s="3" customFormat="1" ht="22.5" customHeight="1">
      <c r="B10" s="903" t="s">
        <v>535</v>
      </c>
      <c r="C10" s="904"/>
      <c r="D10" s="243">
        <f t="shared" si="4"/>
        <v>1387</v>
      </c>
      <c r="E10" s="243">
        <f t="shared" si="4"/>
        <v>445</v>
      </c>
      <c r="F10" s="248">
        <v>1355</v>
      </c>
      <c r="G10" s="248">
        <v>437</v>
      </c>
      <c r="H10" s="248">
        <v>32</v>
      </c>
      <c r="I10" s="248">
        <v>8</v>
      </c>
      <c r="J10" s="248">
        <v>0</v>
      </c>
      <c r="K10" s="248">
        <v>0</v>
      </c>
      <c r="L10" s="244">
        <f t="shared" si="0"/>
        <v>30</v>
      </c>
      <c r="M10" s="244">
        <f t="shared" si="1"/>
        <v>6</v>
      </c>
      <c r="N10" s="455">
        <f t="shared" si="2"/>
        <v>93.75</v>
      </c>
      <c r="O10" s="455">
        <f t="shared" si="3"/>
        <v>75</v>
      </c>
      <c r="P10" s="248">
        <v>0</v>
      </c>
      <c r="Q10" s="248">
        <v>0</v>
      </c>
      <c r="R10" s="248">
        <v>0</v>
      </c>
      <c r="S10" s="248">
        <v>0</v>
      </c>
      <c r="T10" s="248">
        <v>1</v>
      </c>
      <c r="U10" s="248">
        <v>0</v>
      </c>
      <c r="V10" s="248">
        <f>6+4+11</f>
        <v>21</v>
      </c>
      <c r="W10" s="248">
        <v>4</v>
      </c>
      <c r="X10" s="248">
        <v>6</v>
      </c>
      <c r="Y10" s="248">
        <v>1</v>
      </c>
      <c r="Z10" s="248">
        <v>2</v>
      </c>
      <c r="AA10" s="452">
        <v>1</v>
      </c>
    </row>
    <row r="11" spans="2:27" s="3" customFormat="1" ht="22.5" customHeight="1">
      <c r="B11" s="903" t="s">
        <v>536</v>
      </c>
      <c r="C11" s="904"/>
      <c r="D11" s="243">
        <f t="shared" si="4"/>
        <v>1079</v>
      </c>
      <c r="E11" s="243">
        <f t="shared" si="4"/>
        <v>268</v>
      </c>
      <c r="F11" s="248">
        <v>1053</v>
      </c>
      <c r="G11" s="248">
        <v>267</v>
      </c>
      <c r="H11" s="248">
        <v>26</v>
      </c>
      <c r="I11" s="248">
        <v>1</v>
      </c>
      <c r="J11" s="248">
        <v>0</v>
      </c>
      <c r="K11" s="248">
        <v>0</v>
      </c>
      <c r="L11" s="244">
        <f t="shared" si="0"/>
        <v>23</v>
      </c>
      <c r="M11" s="244">
        <f t="shared" si="1"/>
        <v>1</v>
      </c>
      <c r="N11" s="455">
        <f t="shared" si="2"/>
        <v>88.46153846153845</v>
      </c>
      <c r="O11" s="248">
        <f t="shared" si="3"/>
        <v>100</v>
      </c>
      <c r="P11" s="248">
        <v>0</v>
      </c>
      <c r="Q11" s="248">
        <v>0</v>
      </c>
      <c r="R11" s="248">
        <v>0</v>
      </c>
      <c r="S11" s="248">
        <v>0</v>
      </c>
      <c r="T11" s="248">
        <v>0</v>
      </c>
      <c r="U11" s="248">
        <v>0</v>
      </c>
      <c r="V11" s="248">
        <f>3+9</f>
        <v>12</v>
      </c>
      <c r="W11" s="248">
        <v>0</v>
      </c>
      <c r="X11" s="248">
        <v>8</v>
      </c>
      <c r="Y11" s="248">
        <v>1</v>
      </c>
      <c r="Z11" s="248">
        <v>3</v>
      </c>
      <c r="AA11" s="452">
        <v>0</v>
      </c>
    </row>
    <row r="12" spans="2:27" s="3" customFormat="1" ht="22.5" customHeight="1">
      <c r="B12" s="903" t="s">
        <v>537</v>
      </c>
      <c r="C12" s="904"/>
      <c r="D12" s="243">
        <f t="shared" si="4"/>
        <v>921</v>
      </c>
      <c r="E12" s="243">
        <f t="shared" si="4"/>
        <v>220</v>
      </c>
      <c r="F12" s="248">
        <v>910</v>
      </c>
      <c r="G12" s="248">
        <v>219</v>
      </c>
      <c r="H12" s="248">
        <v>11</v>
      </c>
      <c r="I12" s="248">
        <v>1</v>
      </c>
      <c r="J12" s="248">
        <v>0</v>
      </c>
      <c r="K12" s="248">
        <v>0</v>
      </c>
      <c r="L12" s="244">
        <f t="shared" si="0"/>
        <v>11</v>
      </c>
      <c r="M12" s="244">
        <f t="shared" si="1"/>
        <v>1</v>
      </c>
      <c r="N12" s="455">
        <f t="shared" si="2"/>
        <v>100</v>
      </c>
      <c r="O12" s="455">
        <f t="shared" si="3"/>
        <v>100</v>
      </c>
      <c r="P12" s="248">
        <v>0</v>
      </c>
      <c r="Q12" s="248">
        <v>0</v>
      </c>
      <c r="R12" s="248">
        <v>0</v>
      </c>
      <c r="S12" s="248">
        <v>0</v>
      </c>
      <c r="T12" s="248">
        <v>0</v>
      </c>
      <c r="U12" s="248">
        <v>0</v>
      </c>
      <c r="V12" s="248">
        <f>1+4</f>
        <v>5</v>
      </c>
      <c r="W12" s="248">
        <v>1</v>
      </c>
      <c r="X12" s="248">
        <v>4</v>
      </c>
      <c r="Y12" s="248">
        <v>0</v>
      </c>
      <c r="Z12" s="248">
        <v>2</v>
      </c>
      <c r="AA12" s="452">
        <v>0</v>
      </c>
    </row>
    <row r="13" spans="2:27" s="3" customFormat="1" ht="22.5" customHeight="1">
      <c r="B13" s="903" t="s">
        <v>538</v>
      </c>
      <c r="C13" s="904"/>
      <c r="D13" s="243">
        <f t="shared" si="4"/>
        <v>281</v>
      </c>
      <c r="E13" s="243">
        <f t="shared" si="4"/>
        <v>148</v>
      </c>
      <c r="F13" s="248">
        <v>280</v>
      </c>
      <c r="G13" s="248">
        <v>145</v>
      </c>
      <c r="H13" s="248">
        <v>0</v>
      </c>
      <c r="I13" s="248">
        <v>3</v>
      </c>
      <c r="J13" s="248">
        <v>1</v>
      </c>
      <c r="K13" s="248">
        <v>0</v>
      </c>
      <c r="L13" s="244">
        <f t="shared" si="0"/>
        <v>0</v>
      </c>
      <c r="M13" s="244">
        <f t="shared" si="1"/>
        <v>3</v>
      </c>
      <c r="N13" s="455">
        <f t="shared" si="2"/>
        <v>0</v>
      </c>
      <c r="O13" s="455">
        <f t="shared" si="3"/>
        <v>100</v>
      </c>
      <c r="P13" s="248">
        <v>0</v>
      </c>
      <c r="Q13" s="248">
        <v>0</v>
      </c>
      <c r="R13" s="248">
        <v>0</v>
      </c>
      <c r="S13" s="248">
        <v>0</v>
      </c>
      <c r="T13" s="248">
        <v>0</v>
      </c>
      <c r="U13" s="248">
        <v>0</v>
      </c>
      <c r="V13" s="248">
        <v>0</v>
      </c>
      <c r="W13" s="248">
        <v>2</v>
      </c>
      <c r="X13" s="248">
        <v>0</v>
      </c>
      <c r="Y13" s="248">
        <v>0</v>
      </c>
      <c r="Z13" s="248">
        <v>0</v>
      </c>
      <c r="AA13" s="452">
        <v>1</v>
      </c>
    </row>
    <row r="14" spans="2:27" s="3" customFormat="1" ht="22.5" customHeight="1">
      <c r="B14" s="903" t="s">
        <v>539</v>
      </c>
      <c r="C14" s="904"/>
      <c r="D14" s="243">
        <f t="shared" si="4"/>
        <v>0</v>
      </c>
      <c r="E14" s="243">
        <f t="shared" si="4"/>
        <v>131</v>
      </c>
      <c r="F14" s="248">
        <v>0</v>
      </c>
      <c r="G14" s="248">
        <v>131</v>
      </c>
      <c r="H14" s="248">
        <v>0</v>
      </c>
      <c r="I14" s="248">
        <v>0</v>
      </c>
      <c r="J14" s="248">
        <v>0</v>
      </c>
      <c r="K14" s="248">
        <v>0</v>
      </c>
      <c r="L14" s="244">
        <f t="shared" si="0"/>
        <v>0</v>
      </c>
      <c r="M14" s="244">
        <f t="shared" si="1"/>
        <v>0</v>
      </c>
      <c r="N14" s="455">
        <f t="shared" si="2"/>
        <v>0</v>
      </c>
      <c r="O14" s="455">
        <f t="shared" si="3"/>
        <v>0</v>
      </c>
      <c r="P14" s="248">
        <v>0</v>
      </c>
      <c r="Q14" s="248">
        <v>0</v>
      </c>
      <c r="R14" s="248">
        <v>0</v>
      </c>
      <c r="S14" s="248">
        <v>0</v>
      </c>
      <c r="T14" s="248">
        <v>0</v>
      </c>
      <c r="U14" s="248">
        <v>0</v>
      </c>
      <c r="V14" s="248">
        <v>0</v>
      </c>
      <c r="W14" s="248">
        <v>0</v>
      </c>
      <c r="X14" s="248">
        <v>0</v>
      </c>
      <c r="Y14" s="248">
        <v>0</v>
      </c>
      <c r="Z14" s="248">
        <v>0</v>
      </c>
      <c r="AA14" s="452">
        <v>0</v>
      </c>
    </row>
    <row r="15" spans="2:27" s="3" customFormat="1" ht="22.5" customHeight="1">
      <c r="B15" s="899" t="s">
        <v>540</v>
      </c>
      <c r="C15" s="900"/>
      <c r="D15" s="270">
        <f>F15+H15+J15</f>
        <v>0</v>
      </c>
      <c r="E15" s="270">
        <f>G15+I15+K15</f>
        <v>196</v>
      </c>
      <c r="F15" s="259">
        <v>0</v>
      </c>
      <c r="G15" s="259">
        <f>129+47+20</f>
        <v>196</v>
      </c>
      <c r="H15" s="259">
        <v>0</v>
      </c>
      <c r="I15" s="259">
        <v>0</v>
      </c>
      <c r="J15" s="259">
        <v>0</v>
      </c>
      <c r="K15" s="259">
        <v>0</v>
      </c>
      <c r="L15" s="271">
        <f t="shared" si="0"/>
        <v>0</v>
      </c>
      <c r="M15" s="271">
        <f t="shared" si="1"/>
        <v>0</v>
      </c>
      <c r="N15" s="456">
        <f t="shared" si="2"/>
        <v>0</v>
      </c>
      <c r="O15" s="457">
        <f t="shared" si="3"/>
        <v>0</v>
      </c>
      <c r="P15" s="259">
        <v>0</v>
      </c>
      <c r="Q15" s="259">
        <v>0</v>
      </c>
      <c r="R15" s="259">
        <v>0</v>
      </c>
      <c r="S15" s="259">
        <v>0</v>
      </c>
      <c r="T15" s="259">
        <v>0</v>
      </c>
      <c r="U15" s="259">
        <v>0</v>
      </c>
      <c r="V15" s="259">
        <v>0</v>
      </c>
      <c r="W15" s="259">
        <v>0</v>
      </c>
      <c r="X15" s="259">
        <v>0</v>
      </c>
      <c r="Y15" s="259">
        <v>0</v>
      </c>
      <c r="Z15" s="259">
        <v>0</v>
      </c>
      <c r="AA15" s="262">
        <v>0</v>
      </c>
    </row>
    <row r="16" spans="2:27" s="3" customFormat="1" ht="22.5" customHeight="1">
      <c r="B16" s="901" t="s">
        <v>71</v>
      </c>
      <c r="C16" s="902"/>
      <c r="D16" s="272">
        <f>F16+H16+J16</f>
        <v>7073</v>
      </c>
      <c r="E16" s="273">
        <f>G16+I16+K16</f>
        <v>2437</v>
      </c>
      <c r="F16" s="264">
        <f>SUM(F5:F15)</f>
        <v>6806</v>
      </c>
      <c r="G16" s="264">
        <f>SUM(G5:G15)</f>
        <v>2404</v>
      </c>
      <c r="H16" s="264">
        <f>SUM(H5:H15)</f>
        <v>266</v>
      </c>
      <c r="I16" s="264">
        <f>SUM(I5:I15)</f>
        <v>33</v>
      </c>
      <c r="J16" s="264">
        <f aca="true" t="shared" si="5" ref="J16:S16">SUM(J5:J15)</f>
        <v>1</v>
      </c>
      <c r="K16" s="264">
        <f t="shared" si="5"/>
        <v>0</v>
      </c>
      <c r="L16" s="265">
        <f>SUM(L5:L15)</f>
        <v>241</v>
      </c>
      <c r="M16" s="265">
        <f>SUM(M5:M15)</f>
        <v>29</v>
      </c>
      <c r="N16" s="457">
        <f>IF(H16=0,0,L16/H16*100)</f>
        <v>90.6015037593985</v>
      </c>
      <c r="O16" s="457">
        <f>IF(I16=0,0,M16/I16*100)</f>
        <v>87.87878787878788</v>
      </c>
      <c r="P16" s="264">
        <f>SUM(P5:P15)</f>
        <v>3</v>
      </c>
      <c r="Q16" s="264">
        <f t="shared" si="5"/>
        <v>1</v>
      </c>
      <c r="R16" s="264">
        <f t="shared" si="5"/>
        <v>0</v>
      </c>
      <c r="S16" s="264">
        <f t="shared" si="5"/>
        <v>0</v>
      </c>
      <c r="T16" s="264">
        <f>SUM(T5:T15)</f>
        <v>2</v>
      </c>
      <c r="U16" s="264">
        <f>SUM(U5:U15)</f>
        <v>0</v>
      </c>
      <c r="V16" s="264">
        <f aca="true" t="shared" si="6" ref="V16:AA16">SUM(V5:V15)</f>
        <v>166</v>
      </c>
      <c r="W16" s="264">
        <f t="shared" si="6"/>
        <v>20</v>
      </c>
      <c r="X16" s="264">
        <f t="shared" si="6"/>
        <v>54</v>
      </c>
      <c r="Y16" s="264">
        <f t="shared" si="6"/>
        <v>4</v>
      </c>
      <c r="Z16" s="264">
        <f t="shared" si="6"/>
        <v>16</v>
      </c>
      <c r="AA16" s="268">
        <f t="shared" si="6"/>
        <v>4</v>
      </c>
    </row>
    <row r="17" spans="5:13" s="3" customFormat="1" ht="19.5" customHeight="1">
      <c r="E17" s="56"/>
      <c r="L17" s="50"/>
      <c r="M17" s="50"/>
    </row>
    <row r="18" spans="12:13" s="3" customFormat="1" ht="19.5" customHeight="1">
      <c r="L18" s="50"/>
      <c r="M18" s="50"/>
    </row>
    <row r="19" spans="1:13" ht="19.5" customHeight="1">
      <c r="A19" s="790" t="s">
        <v>541</v>
      </c>
      <c r="B19" s="790"/>
      <c r="C19" s="790"/>
      <c r="D19" s="790"/>
      <c r="E19" s="790"/>
      <c r="F19" s="790"/>
      <c r="G19" s="790"/>
      <c r="H19" s="790"/>
      <c r="I19" s="790"/>
      <c r="J19" s="790"/>
      <c r="K19" s="790"/>
      <c r="L19" s="790"/>
      <c r="M19" s="790"/>
    </row>
    <row r="20" spans="2:27" s="3" customFormat="1" ht="23.25" customHeight="1">
      <c r="B20" s="855" t="s">
        <v>74</v>
      </c>
      <c r="C20" s="856"/>
      <c r="D20" s="897" t="s">
        <v>54</v>
      </c>
      <c r="E20" s="883"/>
      <c r="F20" s="883" t="s">
        <v>528</v>
      </c>
      <c r="G20" s="883"/>
      <c r="H20" s="883" t="s">
        <v>86</v>
      </c>
      <c r="I20" s="883"/>
      <c r="J20" s="883" t="s">
        <v>55</v>
      </c>
      <c r="K20" s="883"/>
      <c r="L20" s="881" t="s">
        <v>79</v>
      </c>
      <c r="M20" s="881"/>
      <c r="N20" s="883" t="s">
        <v>87</v>
      </c>
      <c r="O20" s="883"/>
      <c r="P20" s="883" t="s">
        <v>80</v>
      </c>
      <c r="Q20" s="883"/>
      <c r="R20" s="883"/>
      <c r="S20" s="883"/>
      <c r="T20" s="883" t="s">
        <v>88</v>
      </c>
      <c r="U20" s="883"/>
      <c r="V20" s="883"/>
      <c r="W20" s="883"/>
      <c r="X20" s="883"/>
      <c r="Y20" s="883"/>
      <c r="Z20" s="883"/>
      <c r="AA20" s="884"/>
    </row>
    <row r="21" spans="2:27" s="3" customFormat="1" ht="23.25" customHeight="1">
      <c r="B21" s="906"/>
      <c r="C21" s="892"/>
      <c r="D21" s="898"/>
      <c r="E21" s="885"/>
      <c r="F21" s="885"/>
      <c r="G21" s="885"/>
      <c r="H21" s="885"/>
      <c r="I21" s="885"/>
      <c r="J21" s="885"/>
      <c r="K21" s="885"/>
      <c r="L21" s="882"/>
      <c r="M21" s="882"/>
      <c r="N21" s="885"/>
      <c r="O21" s="885"/>
      <c r="P21" s="885" t="s">
        <v>89</v>
      </c>
      <c r="Q21" s="885"/>
      <c r="R21" s="905" t="s">
        <v>90</v>
      </c>
      <c r="S21" s="905"/>
      <c r="T21" s="885" t="s">
        <v>91</v>
      </c>
      <c r="U21" s="885"/>
      <c r="V21" s="905" t="s">
        <v>92</v>
      </c>
      <c r="W21" s="905"/>
      <c r="X21" s="885" t="s">
        <v>83</v>
      </c>
      <c r="Y21" s="885"/>
      <c r="Z21" s="885" t="s">
        <v>75</v>
      </c>
      <c r="AA21" s="887"/>
    </row>
    <row r="22" spans="2:27" s="3" customFormat="1" ht="23.25" customHeight="1">
      <c r="B22" s="907"/>
      <c r="C22" s="893"/>
      <c r="D22" s="101" t="s">
        <v>57</v>
      </c>
      <c r="E22" s="102" t="s">
        <v>58</v>
      </c>
      <c r="F22" s="102" t="s">
        <v>57</v>
      </c>
      <c r="G22" s="102" t="s">
        <v>58</v>
      </c>
      <c r="H22" s="102" t="s">
        <v>57</v>
      </c>
      <c r="I22" s="102" t="s">
        <v>58</v>
      </c>
      <c r="J22" s="102" t="s">
        <v>57</v>
      </c>
      <c r="K22" s="102" t="s">
        <v>58</v>
      </c>
      <c r="L22" s="102" t="s">
        <v>57</v>
      </c>
      <c r="M22" s="102" t="s">
        <v>58</v>
      </c>
      <c r="N22" s="102" t="s">
        <v>57</v>
      </c>
      <c r="O22" s="102" t="s">
        <v>58</v>
      </c>
      <c r="P22" s="102" t="s">
        <v>57</v>
      </c>
      <c r="Q22" s="102" t="s">
        <v>58</v>
      </c>
      <c r="R22" s="102" t="s">
        <v>57</v>
      </c>
      <c r="S22" s="102" t="s">
        <v>58</v>
      </c>
      <c r="T22" s="102" t="s">
        <v>57</v>
      </c>
      <c r="U22" s="102" t="s">
        <v>58</v>
      </c>
      <c r="V22" s="102" t="s">
        <v>57</v>
      </c>
      <c r="W22" s="102" t="s">
        <v>58</v>
      </c>
      <c r="X22" s="102" t="s">
        <v>57</v>
      </c>
      <c r="Y22" s="102" t="s">
        <v>58</v>
      </c>
      <c r="Z22" s="102" t="s">
        <v>57</v>
      </c>
      <c r="AA22" s="103" t="s">
        <v>58</v>
      </c>
    </row>
    <row r="23" spans="2:27" s="3" customFormat="1" ht="23.25" customHeight="1">
      <c r="B23" s="903" t="s">
        <v>534</v>
      </c>
      <c r="C23" s="904"/>
      <c r="D23" s="243">
        <f aca="true" t="shared" si="7" ref="D23:E29">F23+H23+J23</f>
        <v>1017</v>
      </c>
      <c r="E23" s="243">
        <f t="shared" si="7"/>
        <v>585</v>
      </c>
      <c r="F23" s="248">
        <f>875+104</f>
        <v>979</v>
      </c>
      <c r="G23" s="248">
        <v>549</v>
      </c>
      <c r="H23" s="248">
        <v>0</v>
      </c>
      <c r="I23" s="248">
        <v>0</v>
      </c>
      <c r="J23" s="248">
        <v>38</v>
      </c>
      <c r="K23" s="248">
        <v>36</v>
      </c>
      <c r="L23" s="244">
        <f>+P23+R23+T23+V23+X23+Z23</f>
        <v>35</v>
      </c>
      <c r="M23" s="244">
        <f>+Q23+S23+U23+W23+Y23+AA23</f>
        <v>30</v>
      </c>
      <c r="N23" s="458">
        <f>IF(J23=0,0,L23/J23*100)</f>
        <v>92.10526315789474</v>
      </c>
      <c r="O23" s="458">
        <f>IF(K23=0,0,M23/K23*100)</f>
        <v>83.33333333333334</v>
      </c>
      <c r="P23" s="248">
        <v>1</v>
      </c>
      <c r="Q23" s="248">
        <v>2</v>
      </c>
      <c r="R23" s="248">
        <v>0</v>
      </c>
      <c r="S23" s="248">
        <v>0</v>
      </c>
      <c r="T23" s="248">
        <v>3</v>
      </c>
      <c r="U23" s="248">
        <v>2</v>
      </c>
      <c r="V23" s="248">
        <v>7</v>
      </c>
      <c r="W23" s="248">
        <v>3</v>
      </c>
      <c r="X23" s="248">
        <f>7+4</f>
        <v>11</v>
      </c>
      <c r="Y23" s="248">
        <v>4</v>
      </c>
      <c r="Z23" s="248">
        <v>13</v>
      </c>
      <c r="AA23" s="452">
        <v>19</v>
      </c>
    </row>
    <row r="24" spans="2:27" s="3" customFormat="1" ht="23.25" customHeight="1">
      <c r="B24" s="903" t="s">
        <v>535</v>
      </c>
      <c r="C24" s="904"/>
      <c r="D24" s="243">
        <f t="shared" si="7"/>
        <v>1264</v>
      </c>
      <c r="E24" s="243">
        <f t="shared" si="7"/>
        <v>552</v>
      </c>
      <c r="F24" s="248">
        <f>1048+160</f>
        <v>1208</v>
      </c>
      <c r="G24" s="248">
        <v>513</v>
      </c>
      <c r="H24" s="248">
        <v>0</v>
      </c>
      <c r="I24" s="248">
        <v>0</v>
      </c>
      <c r="J24" s="248">
        <v>56</v>
      </c>
      <c r="K24" s="248">
        <v>39</v>
      </c>
      <c r="L24" s="244">
        <f aca="true" t="shared" si="8" ref="L24:M29">+P24+R24+T24+V24+X24+Z24</f>
        <v>54</v>
      </c>
      <c r="M24" s="244">
        <f t="shared" si="8"/>
        <v>35</v>
      </c>
      <c r="N24" s="458">
        <f aca="true" t="shared" si="9" ref="N24:N29">IF(J24=0,0,L24/J24*100)</f>
        <v>96.42857142857143</v>
      </c>
      <c r="O24" s="458">
        <f aca="true" t="shared" si="10" ref="O24:O29">IF(K24=0,0,M24/K24*100)</f>
        <v>89.74358974358975</v>
      </c>
      <c r="P24" s="248">
        <v>4</v>
      </c>
      <c r="Q24" s="248">
        <v>0</v>
      </c>
      <c r="R24" s="248">
        <v>0</v>
      </c>
      <c r="S24" s="248">
        <v>0</v>
      </c>
      <c r="T24" s="248">
        <v>11</v>
      </c>
      <c r="U24" s="248">
        <v>7</v>
      </c>
      <c r="V24" s="248">
        <v>10</v>
      </c>
      <c r="W24" s="248">
        <v>5</v>
      </c>
      <c r="X24" s="248">
        <f>20+2</f>
        <v>22</v>
      </c>
      <c r="Y24" s="248">
        <v>7</v>
      </c>
      <c r="Z24" s="248">
        <v>7</v>
      </c>
      <c r="AA24" s="452">
        <v>16</v>
      </c>
    </row>
    <row r="25" spans="2:27" s="3" customFormat="1" ht="23.25" customHeight="1">
      <c r="B25" s="903" t="s">
        <v>536</v>
      </c>
      <c r="C25" s="904"/>
      <c r="D25" s="243">
        <f t="shared" si="7"/>
        <v>1063</v>
      </c>
      <c r="E25" s="243">
        <f t="shared" si="7"/>
        <v>329</v>
      </c>
      <c r="F25" s="248">
        <f>879+134</f>
        <v>1013</v>
      </c>
      <c r="G25" s="248">
        <v>304</v>
      </c>
      <c r="H25" s="248">
        <v>0</v>
      </c>
      <c r="I25" s="248">
        <v>0</v>
      </c>
      <c r="J25" s="248">
        <v>50</v>
      </c>
      <c r="K25" s="248">
        <v>25</v>
      </c>
      <c r="L25" s="244">
        <f t="shared" si="8"/>
        <v>49</v>
      </c>
      <c r="M25" s="244">
        <f t="shared" si="8"/>
        <v>21</v>
      </c>
      <c r="N25" s="458">
        <f t="shared" si="9"/>
        <v>98</v>
      </c>
      <c r="O25" s="458">
        <f t="shared" si="10"/>
        <v>84</v>
      </c>
      <c r="P25" s="248">
        <v>6</v>
      </c>
      <c r="Q25" s="248">
        <v>1</v>
      </c>
      <c r="R25" s="248">
        <v>1</v>
      </c>
      <c r="S25" s="248">
        <v>0</v>
      </c>
      <c r="T25" s="248">
        <v>6</v>
      </c>
      <c r="U25" s="248">
        <v>3</v>
      </c>
      <c r="V25" s="248">
        <v>4</v>
      </c>
      <c r="W25" s="248">
        <v>2</v>
      </c>
      <c r="X25" s="248">
        <f>18+4</f>
        <v>22</v>
      </c>
      <c r="Y25" s="248">
        <v>5</v>
      </c>
      <c r="Z25" s="248">
        <v>10</v>
      </c>
      <c r="AA25" s="452">
        <v>10</v>
      </c>
    </row>
    <row r="26" spans="2:27" s="3" customFormat="1" ht="23.25" customHeight="1">
      <c r="B26" s="903" t="s">
        <v>537</v>
      </c>
      <c r="C26" s="904"/>
      <c r="D26" s="243">
        <f t="shared" si="7"/>
        <v>951</v>
      </c>
      <c r="E26" s="243">
        <f t="shared" si="7"/>
        <v>261</v>
      </c>
      <c r="F26" s="248">
        <f>812+103</f>
        <v>915</v>
      </c>
      <c r="G26" s="248">
        <v>247</v>
      </c>
      <c r="H26" s="248">
        <v>0</v>
      </c>
      <c r="I26" s="248">
        <v>0</v>
      </c>
      <c r="J26" s="248">
        <v>36</v>
      </c>
      <c r="K26" s="248">
        <v>14</v>
      </c>
      <c r="L26" s="244">
        <f t="shared" si="8"/>
        <v>35</v>
      </c>
      <c r="M26" s="244">
        <f t="shared" si="8"/>
        <v>13</v>
      </c>
      <c r="N26" s="458">
        <f t="shared" si="9"/>
        <v>97.22222222222221</v>
      </c>
      <c r="O26" s="458">
        <f t="shared" si="10"/>
        <v>92.85714285714286</v>
      </c>
      <c r="P26" s="248">
        <v>8</v>
      </c>
      <c r="Q26" s="248">
        <v>3</v>
      </c>
      <c r="R26" s="248">
        <v>0</v>
      </c>
      <c r="S26" s="248">
        <v>0</v>
      </c>
      <c r="T26" s="248">
        <v>4</v>
      </c>
      <c r="U26" s="248">
        <v>0</v>
      </c>
      <c r="V26" s="248">
        <v>4</v>
      </c>
      <c r="W26" s="248">
        <v>0</v>
      </c>
      <c r="X26" s="248">
        <f>6+1</f>
        <v>7</v>
      </c>
      <c r="Y26" s="248">
        <v>2</v>
      </c>
      <c r="Z26" s="248">
        <v>12</v>
      </c>
      <c r="AA26" s="452">
        <v>8</v>
      </c>
    </row>
    <row r="27" spans="2:27" s="3" customFormat="1" ht="23.25" customHeight="1">
      <c r="B27" s="903" t="s">
        <v>538</v>
      </c>
      <c r="C27" s="904"/>
      <c r="D27" s="243">
        <f t="shared" si="7"/>
        <v>1182</v>
      </c>
      <c r="E27" s="243">
        <f t="shared" si="7"/>
        <v>254</v>
      </c>
      <c r="F27" s="248">
        <f>1014+142</f>
        <v>1156</v>
      </c>
      <c r="G27" s="248">
        <v>240</v>
      </c>
      <c r="H27" s="248">
        <v>0</v>
      </c>
      <c r="I27" s="248">
        <v>0</v>
      </c>
      <c r="J27" s="248">
        <v>26</v>
      </c>
      <c r="K27" s="248">
        <v>14</v>
      </c>
      <c r="L27" s="244">
        <f t="shared" si="8"/>
        <v>25</v>
      </c>
      <c r="M27" s="244">
        <f t="shared" si="8"/>
        <v>11</v>
      </c>
      <c r="N27" s="458">
        <f t="shared" si="9"/>
        <v>96.15384615384616</v>
      </c>
      <c r="O27" s="458">
        <f t="shared" si="10"/>
        <v>78.57142857142857</v>
      </c>
      <c r="P27" s="248">
        <v>3</v>
      </c>
      <c r="Q27" s="248">
        <v>1</v>
      </c>
      <c r="R27" s="248">
        <v>2</v>
      </c>
      <c r="S27" s="248">
        <v>0</v>
      </c>
      <c r="T27" s="248">
        <v>3</v>
      </c>
      <c r="U27" s="248">
        <v>0</v>
      </c>
      <c r="V27" s="248">
        <v>5</v>
      </c>
      <c r="W27" s="248">
        <v>0</v>
      </c>
      <c r="X27" s="248">
        <f>3+2</f>
        <v>5</v>
      </c>
      <c r="Y27" s="248">
        <v>2</v>
      </c>
      <c r="Z27" s="248">
        <v>7</v>
      </c>
      <c r="AA27" s="452">
        <v>8</v>
      </c>
    </row>
    <row r="28" spans="2:27" s="3" customFormat="1" ht="23.25" customHeight="1">
      <c r="B28" s="903" t="s">
        <v>539</v>
      </c>
      <c r="C28" s="904"/>
      <c r="D28" s="243">
        <f t="shared" si="7"/>
        <v>475</v>
      </c>
      <c r="E28" s="243">
        <f t="shared" si="7"/>
        <v>233</v>
      </c>
      <c r="F28" s="248">
        <f>421+44</f>
        <v>465</v>
      </c>
      <c r="G28" s="248">
        <v>222</v>
      </c>
      <c r="H28" s="248">
        <v>0</v>
      </c>
      <c r="I28" s="248">
        <v>0</v>
      </c>
      <c r="J28" s="248">
        <v>10</v>
      </c>
      <c r="K28" s="248">
        <v>11</v>
      </c>
      <c r="L28" s="244">
        <f t="shared" si="8"/>
        <v>10</v>
      </c>
      <c r="M28" s="244">
        <f t="shared" si="8"/>
        <v>10</v>
      </c>
      <c r="N28" s="458">
        <f t="shared" si="9"/>
        <v>100</v>
      </c>
      <c r="O28" s="458">
        <f t="shared" si="10"/>
        <v>90.9090909090909</v>
      </c>
      <c r="P28" s="248">
        <v>1</v>
      </c>
      <c r="Q28" s="248">
        <v>2</v>
      </c>
      <c r="R28" s="248">
        <v>0</v>
      </c>
      <c r="S28" s="248">
        <v>0</v>
      </c>
      <c r="T28" s="248">
        <v>3</v>
      </c>
      <c r="U28" s="248">
        <v>1</v>
      </c>
      <c r="V28" s="248">
        <v>1</v>
      </c>
      <c r="W28" s="248">
        <v>1</v>
      </c>
      <c r="X28" s="248">
        <f>2+1</f>
        <v>3</v>
      </c>
      <c r="Y28" s="248">
        <v>2</v>
      </c>
      <c r="Z28" s="248">
        <v>2</v>
      </c>
      <c r="AA28" s="452">
        <v>4</v>
      </c>
    </row>
    <row r="29" spans="2:27" s="3" customFormat="1" ht="23.25" customHeight="1">
      <c r="B29" s="899" t="s">
        <v>540</v>
      </c>
      <c r="C29" s="900"/>
      <c r="D29" s="270">
        <f t="shared" si="7"/>
        <v>0</v>
      </c>
      <c r="E29" s="270">
        <f t="shared" si="7"/>
        <v>271</v>
      </c>
      <c r="F29" s="259">
        <v>0</v>
      </c>
      <c r="G29" s="259">
        <f>168+65+27</f>
        <v>260</v>
      </c>
      <c r="H29" s="259">
        <v>0</v>
      </c>
      <c r="I29" s="259">
        <v>0</v>
      </c>
      <c r="J29" s="259">
        <v>0</v>
      </c>
      <c r="K29" s="259">
        <f>10+1</f>
        <v>11</v>
      </c>
      <c r="L29" s="271">
        <f t="shared" si="8"/>
        <v>0</v>
      </c>
      <c r="M29" s="271">
        <f t="shared" si="8"/>
        <v>11</v>
      </c>
      <c r="N29" s="259">
        <f t="shared" si="9"/>
        <v>0</v>
      </c>
      <c r="O29" s="459">
        <f t="shared" si="10"/>
        <v>100</v>
      </c>
      <c r="P29" s="259">
        <v>0</v>
      </c>
      <c r="Q29" s="259">
        <v>1</v>
      </c>
      <c r="R29" s="259">
        <v>0</v>
      </c>
      <c r="S29" s="259">
        <v>0</v>
      </c>
      <c r="T29" s="259">
        <v>0</v>
      </c>
      <c r="U29" s="259">
        <v>1</v>
      </c>
      <c r="V29" s="259">
        <v>0</v>
      </c>
      <c r="W29" s="259">
        <v>2</v>
      </c>
      <c r="X29" s="259">
        <v>0</v>
      </c>
      <c r="Y29" s="259">
        <v>4</v>
      </c>
      <c r="Z29" s="259">
        <v>0</v>
      </c>
      <c r="AA29" s="262">
        <f>2+1</f>
        <v>3</v>
      </c>
    </row>
    <row r="30" spans="2:27" s="3" customFormat="1" ht="23.25" customHeight="1">
      <c r="B30" s="901" t="s">
        <v>71</v>
      </c>
      <c r="C30" s="902"/>
      <c r="D30" s="272">
        <f>SUM(D23:D29)</f>
        <v>5952</v>
      </c>
      <c r="E30" s="273">
        <f>G30+I30+K30</f>
        <v>2485</v>
      </c>
      <c r="F30" s="264">
        <f aca="true" t="shared" si="11" ref="F30:K30">SUM(F19:F29)</f>
        <v>5736</v>
      </c>
      <c r="G30" s="264">
        <f t="shared" si="11"/>
        <v>2335</v>
      </c>
      <c r="H30" s="264">
        <f t="shared" si="11"/>
        <v>0</v>
      </c>
      <c r="I30" s="264">
        <f t="shared" si="11"/>
        <v>0</v>
      </c>
      <c r="J30" s="264">
        <f t="shared" si="11"/>
        <v>216</v>
      </c>
      <c r="K30" s="264">
        <f t="shared" si="11"/>
        <v>150</v>
      </c>
      <c r="L30" s="265">
        <f>SUM(L23:L29)</f>
        <v>208</v>
      </c>
      <c r="M30" s="265">
        <f>SUM(M23:M29)</f>
        <v>131</v>
      </c>
      <c r="N30" s="460">
        <f>L30/J30*100</f>
        <v>96.29629629629629</v>
      </c>
      <c r="O30" s="460">
        <f>M30/K30*100</f>
        <v>87.33333333333333</v>
      </c>
      <c r="P30" s="264">
        <f>SUM(P23:P29)</f>
        <v>23</v>
      </c>
      <c r="Q30" s="264">
        <f aca="true" t="shared" si="12" ref="Q30:AA30">SUM(Q23:Q29)</f>
        <v>10</v>
      </c>
      <c r="R30" s="264">
        <f>SUM(R23:R29)</f>
        <v>3</v>
      </c>
      <c r="S30" s="264">
        <f t="shared" si="12"/>
        <v>0</v>
      </c>
      <c r="T30" s="264">
        <f>SUM(T23:T29)</f>
        <v>30</v>
      </c>
      <c r="U30" s="264">
        <f t="shared" si="12"/>
        <v>14</v>
      </c>
      <c r="V30" s="264">
        <f>SUM(V23:V29)</f>
        <v>31</v>
      </c>
      <c r="W30" s="264">
        <f t="shared" si="12"/>
        <v>13</v>
      </c>
      <c r="X30" s="264">
        <f>SUM(X23:X29)</f>
        <v>70</v>
      </c>
      <c r="Y30" s="264">
        <f t="shared" si="12"/>
        <v>26</v>
      </c>
      <c r="Z30" s="264">
        <f>SUM(Z23:Z29)</f>
        <v>51</v>
      </c>
      <c r="AA30" s="268">
        <f t="shared" si="12"/>
        <v>68</v>
      </c>
    </row>
    <row r="31" ht="23.25" customHeight="1">
      <c r="M31" s="51"/>
    </row>
    <row r="32" ht="23.25" customHeight="1"/>
    <row r="67" ht="15" customHeight="1"/>
    <row r="68" ht="15" customHeight="1"/>
    <row r="69" ht="15" customHeight="1"/>
    <row r="70" ht="15" customHeight="1"/>
    <row r="71" ht="15" customHeight="1"/>
    <row r="72" ht="15" customHeight="1"/>
  </sheetData>
  <sheetProtection/>
  <mergeCells count="50">
    <mergeCell ref="A1:M1"/>
    <mergeCell ref="B2:C4"/>
    <mergeCell ref="D2:E3"/>
    <mergeCell ref="F2:G3"/>
    <mergeCell ref="H2:I3"/>
    <mergeCell ref="J2:K3"/>
    <mergeCell ref="L2:M3"/>
    <mergeCell ref="N2:O3"/>
    <mergeCell ref="P3:Q3"/>
    <mergeCell ref="R3:S3"/>
    <mergeCell ref="V3:W3"/>
    <mergeCell ref="X3:Y3"/>
    <mergeCell ref="Z3:AA3"/>
    <mergeCell ref="T3:U3"/>
    <mergeCell ref="P2:AA2"/>
    <mergeCell ref="B5:C5"/>
    <mergeCell ref="B6:C6"/>
    <mergeCell ref="B7:C7"/>
    <mergeCell ref="B8:C8"/>
    <mergeCell ref="B9:C9"/>
    <mergeCell ref="B10:C10"/>
    <mergeCell ref="B11:C11"/>
    <mergeCell ref="B12:C12"/>
    <mergeCell ref="B13:C13"/>
    <mergeCell ref="B14:C14"/>
    <mergeCell ref="B15:C15"/>
    <mergeCell ref="B16:C16"/>
    <mergeCell ref="A19:M19"/>
    <mergeCell ref="B20:C22"/>
    <mergeCell ref="D20:E21"/>
    <mergeCell ref="F20:G21"/>
    <mergeCell ref="H20:I21"/>
    <mergeCell ref="J20:K21"/>
    <mergeCell ref="L20:M21"/>
    <mergeCell ref="N20:O21"/>
    <mergeCell ref="P20:AA20"/>
    <mergeCell ref="P21:Q21"/>
    <mergeCell ref="R21:S21"/>
    <mergeCell ref="T21:U21"/>
    <mergeCell ref="V21:W21"/>
    <mergeCell ref="X21:Y21"/>
    <mergeCell ref="Z21:AA21"/>
    <mergeCell ref="B29:C29"/>
    <mergeCell ref="B30:C30"/>
    <mergeCell ref="B23:C23"/>
    <mergeCell ref="B24:C24"/>
    <mergeCell ref="B25:C25"/>
    <mergeCell ref="B26:C26"/>
    <mergeCell ref="B27:C27"/>
    <mergeCell ref="B28:C28"/>
  </mergeCells>
  <printOptions/>
  <pageMargins left="0.2755905511811024" right="0.1968503937007874" top="0.5511811023622047" bottom="0.35433070866141736" header="0.6692913385826772" footer="0.31496062992125984"/>
  <pageSetup firstPageNumber="81" useFirstPageNumber="1" fitToHeight="0" fitToWidth="1" horizontalDpi="600" verticalDpi="600" orientation="landscape" pageOrder="overThenDown" paperSize="9" scale="86" r:id="rId1"/>
  <headerFooter>
    <oddFooter>&amp;C&amp;P</oddFooter>
  </headerFooter>
  <rowBreaks count="1" manualBreakCount="1">
    <brk id="18" max="26" man="1"/>
  </rowBreaks>
  <colBreaks count="1" manualBreakCount="1">
    <brk id="15" max="50" man="1"/>
  </colBreaks>
</worksheet>
</file>

<file path=xl/worksheets/sheet9.xml><?xml version="1.0" encoding="utf-8"?>
<worksheet xmlns="http://schemas.openxmlformats.org/spreadsheetml/2006/main" xmlns:r="http://schemas.openxmlformats.org/officeDocument/2006/relationships">
  <sheetPr>
    <pageSetUpPr fitToPage="1"/>
  </sheetPr>
  <dimension ref="A1:AK24"/>
  <sheetViews>
    <sheetView showGridLines="0" view="pageBreakPreview" zoomScale="90" zoomScaleNormal="115" zoomScaleSheetLayoutView="90" zoomScalePageLayoutView="0" workbookViewId="0" topLeftCell="B1">
      <selection activeCell="G9" sqref="G9"/>
    </sheetView>
  </sheetViews>
  <sheetFormatPr defaultColWidth="9.00390625" defaultRowHeight="19.5" customHeight="1"/>
  <cols>
    <col min="1" max="1" width="1.625" style="105" customWidth="1"/>
    <col min="2" max="2" width="2.625" style="105" customWidth="1"/>
    <col min="3" max="3" width="9.625" style="105" customWidth="1"/>
    <col min="4" max="4" width="7.125" style="105" customWidth="1"/>
    <col min="5" max="5" width="6.375" style="105" customWidth="1"/>
    <col min="6" max="6" width="7.125" style="105" customWidth="1"/>
    <col min="7" max="7" width="6.125" style="105" customWidth="1"/>
    <col min="8" max="8" width="5.75390625" style="105" customWidth="1"/>
    <col min="9" max="9" width="4.50390625" style="105" customWidth="1"/>
    <col min="10" max="10" width="5.75390625" style="105" customWidth="1"/>
    <col min="11" max="11" width="4.75390625" style="105" customWidth="1"/>
    <col min="12" max="12" width="5.50390625" style="105" customWidth="1"/>
    <col min="13" max="13" width="5.375" style="105" customWidth="1"/>
    <col min="14" max="15" width="6.375" style="105" customWidth="1"/>
    <col min="16" max="16" width="5.125" style="105" customWidth="1"/>
    <col min="17" max="17" width="4.625" style="105" customWidth="1"/>
    <col min="18" max="37" width="4.125" style="105" customWidth="1"/>
    <col min="38" max="16384" width="9.00390625" style="105" customWidth="1"/>
  </cols>
  <sheetData>
    <row r="1" spans="1:37" ht="19.5" customHeight="1">
      <c r="A1" s="104" t="s">
        <v>542</v>
      </c>
      <c r="B1" s="104"/>
      <c r="C1" s="104"/>
      <c r="D1" s="104"/>
      <c r="E1" s="104"/>
      <c r="F1" s="104"/>
      <c r="G1" s="104"/>
      <c r="H1" s="104"/>
      <c r="I1" s="104"/>
      <c r="J1" s="104"/>
      <c r="K1" s="104"/>
      <c r="L1" s="104"/>
      <c r="M1" s="104"/>
      <c r="N1" s="104"/>
      <c r="O1" s="104"/>
      <c r="P1" s="104"/>
      <c r="Q1" s="104"/>
      <c r="AK1" s="501" t="s">
        <v>603</v>
      </c>
    </row>
    <row r="2" spans="2:37" s="106" customFormat="1" ht="13.5" customHeight="1">
      <c r="B2" s="927" t="s">
        <v>93</v>
      </c>
      <c r="C2" s="930" t="s">
        <v>74</v>
      </c>
      <c r="D2" s="924" t="s">
        <v>54</v>
      </c>
      <c r="E2" s="921"/>
      <c r="F2" s="921" t="s">
        <v>568</v>
      </c>
      <c r="G2" s="921"/>
      <c r="H2" s="934" t="s">
        <v>55</v>
      </c>
      <c r="I2" s="934"/>
      <c r="J2" s="934" t="s">
        <v>78</v>
      </c>
      <c r="K2" s="934"/>
      <c r="L2" s="921" t="s">
        <v>456</v>
      </c>
      <c r="M2" s="921"/>
      <c r="N2" s="921" t="s">
        <v>569</v>
      </c>
      <c r="O2" s="921"/>
      <c r="P2" s="922" t="s">
        <v>80</v>
      </c>
      <c r="Q2" s="923"/>
      <c r="R2" s="923"/>
      <c r="S2" s="923"/>
      <c r="T2" s="923"/>
      <c r="U2" s="923"/>
      <c r="V2" s="923"/>
      <c r="W2" s="923"/>
      <c r="X2" s="923"/>
      <c r="Y2" s="923"/>
      <c r="Z2" s="923"/>
      <c r="AA2" s="923"/>
      <c r="AB2" s="923"/>
      <c r="AC2" s="923"/>
      <c r="AD2" s="923"/>
      <c r="AE2" s="923"/>
      <c r="AF2" s="923"/>
      <c r="AG2" s="923"/>
      <c r="AH2" s="923"/>
      <c r="AI2" s="924"/>
      <c r="AJ2" s="921" t="s">
        <v>570</v>
      </c>
      <c r="AK2" s="925"/>
    </row>
    <row r="3" spans="2:37" s="106" customFormat="1" ht="63" customHeight="1">
      <c r="B3" s="928"/>
      <c r="C3" s="931"/>
      <c r="D3" s="933"/>
      <c r="E3" s="919"/>
      <c r="F3" s="919"/>
      <c r="G3" s="919"/>
      <c r="H3" s="935"/>
      <c r="I3" s="935"/>
      <c r="J3" s="935"/>
      <c r="K3" s="935"/>
      <c r="L3" s="919"/>
      <c r="M3" s="919"/>
      <c r="N3" s="919"/>
      <c r="O3" s="919"/>
      <c r="P3" s="919" t="s">
        <v>94</v>
      </c>
      <c r="Q3" s="919"/>
      <c r="R3" s="919" t="s">
        <v>95</v>
      </c>
      <c r="S3" s="919"/>
      <c r="T3" s="919"/>
      <c r="U3" s="919"/>
      <c r="V3" s="919"/>
      <c r="W3" s="919"/>
      <c r="X3" s="919"/>
      <c r="Y3" s="919"/>
      <c r="Z3" s="919"/>
      <c r="AA3" s="919"/>
      <c r="AB3" s="919" t="s">
        <v>571</v>
      </c>
      <c r="AC3" s="919"/>
      <c r="AD3" s="919" t="s">
        <v>572</v>
      </c>
      <c r="AE3" s="919"/>
      <c r="AF3" s="919" t="s">
        <v>573</v>
      </c>
      <c r="AG3" s="919"/>
      <c r="AH3" s="919" t="s">
        <v>574</v>
      </c>
      <c r="AI3" s="919"/>
      <c r="AJ3" s="919"/>
      <c r="AK3" s="926"/>
    </row>
    <row r="4" spans="2:37" s="106" customFormat="1" ht="19.5" customHeight="1">
      <c r="B4" s="928"/>
      <c r="C4" s="931"/>
      <c r="D4" s="933"/>
      <c r="E4" s="919"/>
      <c r="F4" s="919"/>
      <c r="G4" s="919"/>
      <c r="H4" s="935"/>
      <c r="I4" s="935"/>
      <c r="J4" s="935"/>
      <c r="K4" s="935"/>
      <c r="L4" s="919"/>
      <c r="M4" s="919"/>
      <c r="N4" s="919"/>
      <c r="O4" s="919"/>
      <c r="P4" s="919"/>
      <c r="Q4" s="919"/>
      <c r="R4" s="919" t="s">
        <v>96</v>
      </c>
      <c r="S4" s="919"/>
      <c r="T4" s="919" t="s">
        <v>97</v>
      </c>
      <c r="U4" s="919"/>
      <c r="V4" s="919" t="s">
        <v>98</v>
      </c>
      <c r="W4" s="919"/>
      <c r="X4" s="919" t="s">
        <v>99</v>
      </c>
      <c r="Y4" s="919"/>
      <c r="Z4" s="919" t="s">
        <v>100</v>
      </c>
      <c r="AA4" s="919"/>
      <c r="AB4" s="919"/>
      <c r="AC4" s="919"/>
      <c r="AD4" s="919"/>
      <c r="AE4" s="919"/>
      <c r="AF4" s="919"/>
      <c r="AG4" s="919"/>
      <c r="AH4" s="919"/>
      <c r="AI4" s="919"/>
      <c r="AJ4" s="919"/>
      <c r="AK4" s="926"/>
    </row>
    <row r="5" spans="2:37" s="106" customFormat="1" ht="67.5" customHeight="1">
      <c r="B5" s="929"/>
      <c r="C5" s="932"/>
      <c r="D5" s="108" t="s">
        <v>458</v>
      </c>
      <c r="E5" s="109" t="s">
        <v>459</v>
      </c>
      <c r="F5" s="108" t="s">
        <v>458</v>
      </c>
      <c r="G5" s="109" t="s">
        <v>459</v>
      </c>
      <c r="H5" s="108" t="s">
        <v>458</v>
      </c>
      <c r="I5" s="109" t="s">
        <v>459</v>
      </c>
      <c r="J5" s="108" t="s">
        <v>458</v>
      </c>
      <c r="K5" s="109" t="s">
        <v>459</v>
      </c>
      <c r="L5" s="108" t="s">
        <v>458</v>
      </c>
      <c r="M5" s="109" t="s">
        <v>459</v>
      </c>
      <c r="N5" s="108" t="s">
        <v>458</v>
      </c>
      <c r="O5" s="109" t="s">
        <v>459</v>
      </c>
      <c r="P5" s="109" t="s">
        <v>458</v>
      </c>
      <c r="Q5" s="109" t="s">
        <v>459</v>
      </c>
      <c r="R5" s="110" t="s">
        <v>458</v>
      </c>
      <c r="S5" s="109" t="s">
        <v>459</v>
      </c>
      <c r="T5" s="108" t="s">
        <v>458</v>
      </c>
      <c r="U5" s="109" t="s">
        <v>459</v>
      </c>
      <c r="V5" s="108" t="s">
        <v>458</v>
      </c>
      <c r="W5" s="109" t="s">
        <v>459</v>
      </c>
      <c r="X5" s="108" t="s">
        <v>458</v>
      </c>
      <c r="Y5" s="109" t="s">
        <v>459</v>
      </c>
      <c r="Z5" s="108" t="s">
        <v>458</v>
      </c>
      <c r="AA5" s="109" t="s">
        <v>459</v>
      </c>
      <c r="AB5" s="108" t="s">
        <v>458</v>
      </c>
      <c r="AC5" s="109" t="s">
        <v>459</v>
      </c>
      <c r="AD5" s="108" t="s">
        <v>458</v>
      </c>
      <c r="AE5" s="109" t="s">
        <v>459</v>
      </c>
      <c r="AF5" s="108" t="s">
        <v>458</v>
      </c>
      <c r="AG5" s="109" t="s">
        <v>459</v>
      </c>
      <c r="AH5" s="108" t="s">
        <v>458</v>
      </c>
      <c r="AI5" s="109" t="s">
        <v>459</v>
      </c>
      <c r="AJ5" s="108" t="s">
        <v>458</v>
      </c>
      <c r="AK5" s="111" t="s">
        <v>459</v>
      </c>
    </row>
    <row r="6" spans="2:37" s="106" customFormat="1" ht="19.5" customHeight="1">
      <c r="B6" s="914" t="s">
        <v>70</v>
      </c>
      <c r="C6" s="112" t="s">
        <v>189</v>
      </c>
      <c r="D6" s="461">
        <v>49</v>
      </c>
      <c r="E6" s="461">
        <v>132</v>
      </c>
      <c r="F6" s="274">
        <v>48</v>
      </c>
      <c r="G6" s="274">
        <v>132</v>
      </c>
      <c r="H6" s="274">
        <v>1</v>
      </c>
      <c r="I6" s="274">
        <v>0</v>
      </c>
      <c r="J6" s="274">
        <v>0</v>
      </c>
      <c r="K6" s="274">
        <v>0</v>
      </c>
      <c r="L6" s="274">
        <f>+P6+AB6+AD6+AF6+AH6+AJ6</f>
        <v>1</v>
      </c>
      <c r="M6" s="274">
        <f>+Q6+AC6+AE6+AG6+AI6+AK6</f>
        <v>0</v>
      </c>
      <c r="N6" s="462">
        <f aca="true" t="shared" si="0" ref="N6:O8">IF(H6=0,0,L6/H6*100)</f>
        <v>100</v>
      </c>
      <c r="O6" s="462">
        <f t="shared" si="0"/>
        <v>0</v>
      </c>
      <c r="P6" s="274">
        <v>0</v>
      </c>
      <c r="Q6" s="274">
        <v>0</v>
      </c>
      <c r="R6" s="274">
        <v>0</v>
      </c>
      <c r="S6" s="274">
        <v>0</v>
      </c>
      <c r="T6" s="274">
        <v>0</v>
      </c>
      <c r="U6" s="274">
        <v>0</v>
      </c>
      <c r="V6" s="274">
        <v>0</v>
      </c>
      <c r="W6" s="274">
        <v>0</v>
      </c>
      <c r="X6" s="274">
        <v>0</v>
      </c>
      <c r="Y6" s="274">
        <v>0</v>
      </c>
      <c r="Z6" s="274">
        <v>0</v>
      </c>
      <c r="AA6" s="274">
        <v>0</v>
      </c>
      <c r="AB6" s="274">
        <v>0</v>
      </c>
      <c r="AC6" s="274">
        <v>0</v>
      </c>
      <c r="AD6" s="274">
        <v>0</v>
      </c>
      <c r="AE6" s="274">
        <v>0</v>
      </c>
      <c r="AF6" s="274">
        <v>1</v>
      </c>
      <c r="AG6" s="274">
        <v>0</v>
      </c>
      <c r="AH6" s="274">
        <v>0</v>
      </c>
      <c r="AI6" s="274">
        <v>0</v>
      </c>
      <c r="AJ6" s="274">
        <v>0</v>
      </c>
      <c r="AK6" s="275">
        <v>0</v>
      </c>
    </row>
    <row r="7" spans="2:37" s="106" customFormat="1" ht="19.5" customHeight="1">
      <c r="B7" s="914"/>
      <c r="C7" s="113" t="s">
        <v>444</v>
      </c>
      <c r="D7" s="463">
        <v>80</v>
      </c>
      <c r="E7" s="463">
        <v>153</v>
      </c>
      <c r="F7" s="276">
        <v>80</v>
      </c>
      <c r="G7" s="276">
        <v>152</v>
      </c>
      <c r="H7" s="276">
        <v>0</v>
      </c>
      <c r="I7" s="276">
        <v>1</v>
      </c>
      <c r="J7" s="276">
        <v>0</v>
      </c>
      <c r="K7" s="276">
        <v>0</v>
      </c>
      <c r="L7" s="276">
        <f aca="true" t="shared" si="1" ref="L7:M12">+P7+AB7+AD7+AF7+AH7+AJ7</f>
        <v>0</v>
      </c>
      <c r="M7" s="276">
        <f t="shared" si="1"/>
        <v>0</v>
      </c>
      <c r="N7" s="462">
        <f t="shared" si="0"/>
        <v>0</v>
      </c>
      <c r="O7" s="462">
        <f t="shared" si="0"/>
        <v>0</v>
      </c>
      <c r="P7" s="276">
        <v>0</v>
      </c>
      <c r="Q7" s="276">
        <v>0</v>
      </c>
      <c r="R7" s="276">
        <v>0</v>
      </c>
      <c r="S7" s="276">
        <v>0</v>
      </c>
      <c r="T7" s="276">
        <v>0</v>
      </c>
      <c r="U7" s="276">
        <v>0</v>
      </c>
      <c r="V7" s="276">
        <v>0</v>
      </c>
      <c r="W7" s="276">
        <v>0</v>
      </c>
      <c r="X7" s="276">
        <v>0</v>
      </c>
      <c r="Y7" s="276">
        <v>0</v>
      </c>
      <c r="Z7" s="276">
        <v>0</v>
      </c>
      <c r="AA7" s="276">
        <v>0</v>
      </c>
      <c r="AB7" s="276">
        <v>0</v>
      </c>
      <c r="AC7" s="276">
        <v>0</v>
      </c>
      <c r="AD7" s="276">
        <v>0</v>
      </c>
      <c r="AE7" s="276">
        <v>0</v>
      </c>
      <c r="AF7" s="276">
        <v>0</v>
      </c>
      <c r="AG7" s="276">
        <v>0</v>
      </c>
      <c r="AH7" s="276">
        <v>0</v>
      </c>
      <c r="AI7" s="276">
        <v>0</v>
      </c>
      <c r="AJ7" s="276">
        <v>0</v>
      </c>
      <c r="AK7" s="277">
        <v>0</v>
      </c>
    </row>
    <row r="8" spans="2:37" s="106" customFormat="1" ht="19.5" customHeight="1">
      <c r="B8" s="915"/>
      <c r="C8" s="113" t="s">
        <v>591</v>
      </c>
      <c r="D8" s="463">
        <v>111</v>
      </c>
      <c r="E8" s="463">
        <v>127</v>
      </c>
      <c r="F8" s="276">
        <v>109</v>
      </c>
      <c r="G8" s="276">
        <v>126</v>
      </c>
      <c r="H8" s="276">
        <v>2</v>
      </c>
      <c r="I8" s="276">
        <v>1</v>
      </c>
      <c r="J8" s="276">
        <v>0</v>
      </c>
      <c r="K8" s="276">
        <v>0</v>
      </c>
      <c r="L8" s="276">
        <f t="shared" si="1"/>
        <v>2</v>
      </c>
      <c r="M8" s="276">
        <f t="shared" si="1"/>
        <v>0</v>
      </c>
      <c r="N8" s="462">
        <f t="shared" si="0"/>
        <v>100</v>
      </c>
      <c r="O8" s="462">
        <f t="shared" si="0"/>
        <v>0</v>
      </c>
      <c r="P8" s="276">
        <v>0</v>
      </c>
      <c r="Q8" s="276">
        <v>0</v>
      </c>
      <c r="R8" s="276">
        <v>0</v>
      </c>
      <c r="S8" s="276">
        <v>0</v>
      </c>
      <c r="T8" s="276">
        <v>0</v>
      </c>
      <c r="U8" s="276">
        <v>0</v>
      </c>
      <c r="V8" s="276">
        <v>0</v>
      </c>
      <c r="W8" s="276">
        <v>0</v>
      </c>
      <c r="X8" s="276">
        <v>0</v>
      </c>
      <c r="Y8" s="276">
        <v>0</v>
      </c>
      <c r="Z8" s="276">
        <v>0</v>
      </c>
      <c r="AA8" s="276">
        <v>0</v>
      </c>
      <c r="AB8" s="276">
        <v>0</v>
      </c>
      <c r="AC8" s="276">
        <v>0</v>
      </c>
      <c r="AD8" s="276">
        <v>0</v>
      </c>
      <c r="AE8" s="276">
        <v>0</v>
      </c>
      <c r="AF8" s="276">
        <v>2</v>
      </c>
      <c r="AG8" s="276">
        <v>0</v>
      </c>
      <c r="AH8" s="276">
        <v>0</v>
      </c>
      <c r="AI8" s="276">
        <v>0</v>
      </c>
      <c r="AJ8" s="276">
        <v>0</v>
      </c>
      <c r="AK8" s="277">
        <v>0</v>
      </c>
    </row>
    <row r="9" spans="2:37" s="106" customFormat="1" ht="19.5" customHeight="1">
      <c r="B9" s="915"/>
      <c r="C9" s="113" t="s">
        <v>446</v>
      </c>
      <c r="D9" s="463">
        <v>464</v>
      </c>
      <c r="E9" s="463">
        <v>93</v>
      </c>
      <c r="F9" s="276">
        <v>458</v>
      </c>
      <c r="G9" s="276">
        <v>93</v>
      </c>
      <c r="H9" s="276">
        <v>5</v>
      </c>
      <c r="I9" s="276">
        <v>0</v>
      </c>
      <c r="J9" s="276">
        <v>1</v>
      </c>
      <c r="K9" s="276">
        <v>0</v>
      </c>
      <c r="L9" s="276">
        <f t="shared" si="1"/>
        <v>5</v>
      </c>
      <c r="M9" s="276">
        <f t="shared" si="1"/>
        <v>0</v>
      </c>
      <c r="N9" s="462">
        <f aca="true" t="shared" si="2" ref="N9:O13">IF(H9=0,0,L9/H9*100)</f>
        <v>100</v>
      </c>
      <c r="O9" s="462">
        <f t="shared" si="2"/>
        <v>0</v>
      </c>
      <c r="P9" s="276">
        <v>0</v>
      </c>
      <c r="Q9" s="276">
        <v>0</v>
      </c>
      <c r="R9" s="276">
        <v>0</v>
      </c>
      <c r="S9" s="276">
        <v>0</v>
      </c>
      <c r="T9" s="276">
        <v>0</v>
      </c>
      <c r="U9" s="276">
        <v>0</v>
      </c>
      <c r="V9" s="276">
        <v>0</v>
      </c>
      <c r="W9" s="276">
        <v>0</v>
      </c>
      <c r="X9" s="276">
        <v>0</v>
      </c>
      <c r="Y9" s="276">
        <v>0</v>
      </c>
      <c r="Z9" s="276">
        <v>0</v>
      </c>
      <c r="AA9" s="276">
        <v>0</v>
      </c>
      <c r="AB9" s="276">
        <v>1</v>
      </c>
      <c r="AC9" s="276">
        <v>0</v>
      </c>
      <c r="AD9" s="276">
        <v>0</v>
      </c>
      <c r="AE9" s="276">
        <v>0</v>
      </c>
      <c r="AF9" s="276">
        <v>3</v>
      </c>
      <c r="AG9" s="276">
        <v>0</v>
      </c>
      <c r="AH9" s="276">
        <v>1</v>
      </c>
      <c r="AI9" s="276">
        <v>0</v>
      </c>
      <c r="AJ9" s="276">
        <v>0</v>
      </c>
      <c r="AK9" s="277">
        <v>0</v>
      </c>
    </row>
    <row r="10" spans="2:37" s="106" customFormat="1" ht="19.5" customHeight="1">
      <c r="B10" s="915"/>
      <c r="C10" s="113" t="s">
        <v>447</v>
      </c>
      <c r="D10" s="463">
        <v>927</v>
      </c>
      <c r="E10" s="463">
        <v>123</v>
      </c>
      <c r="F10" s="276">
        <v>920</v>
      </c>
      <c r="G10" s="276">
        <v>122</v>
      </c>
      <c r="H10" s="276">
        <v>7</v>
      </c>
      <c r="I10" s="276">
        <v>1</v>
      </c>
      <c r="J10" s="276">
        <v>0</v>
      </c>
      <c r="K10" s="276">
        <v>0</v>
      </c>
      <c r="L10" s="276">
        <f t="shared" si="1"/>
        <v>7</v>
      </c>
      <c r="M10" s="276">
        <f t="shared" si="1"/>
        <v>0</v>
      </c>
      <c r="N10" s="462">
        <f t="shared" si="2"/>
        <v>100</v>
      </c>
      <c r="O10" s="462">
        <f t="shared" si="2"/>
        <v>0</v>
      </c>
      <c r="P10" s="276">
        <v>0</v>
      </c>
      <c r="Q10" s="276">
        <v>0</v>
      </c>
      <c r="R10" s="276">
        <v>0</v>
      </c>
      <c r="S10" s="276">
        <v>0</v>
      </c>
      <c r="T10" s="276">
        <v>0</v>
      </c>
      <c r="U10" s="276">
        <v>0</v>
      </c>
      <c r="V10" s="276">
        <v>0</v>
      </c>
      <c r="W10" s="276">
        <v>0</v>
      </c>
      <c r="X10" s="276">
        <v>0</v>
      </c>
      <c r="Y10" s="276">
        <v>0</v>
      </c>
      <c r="Z10" s="276">
        <v>0</v>
      </c>
      <c r="AA10" s="276">
        <v>0</v>
      </c>
      <c r="AB10" s="276">
        <v>0</v>
      </c>
      <c r="AC10" s="276">
        <v>0</v>
      </c>
      <c r="AD10" s="276">
        <v>0</v>
      </c>
      <c r="AE10" s="276">
        <v>0</v>
      </c>
      <c r="AF10" s="276">
        <v>5</v>
      </c>
      <c r="AG10" s="276">
        <v>0</v>
      </c>
      <c r="AH10" s="276">
        <v>2</v>
      </c>
      <c r="AI10" s="276">
        <v>0</v>
      </c>
      <c r="AJ10" s="276">
        <v>0</v>
      </c>
      <c r="AK10" s="277">
        <v>0</v>
      </c>
    </row>
    <row r="11" spans="2:37" s="106" customFormat="1" ht="19.5" customHeight="1">
      <c r="B11" s="915"/>
      <c r="C11" s="113" t="s">
        <v>448</v>
      </c>
      <c r="D11" s="463">
        <v>2724</v>
      </c>
      <c r="E11" s="463">
        <v>209</v>
      </c>
      <c r="F11" s="276">
        <v>2703</v>
      </c>
      <c r="G11" s="276">
        <v>203</v>
      </c>
      <c r="H11" s="276">
        <v>21</v>
      </c>
      <c r="I11" s="276">
        <v>6</v>
      </c>
      <c r="J11" s="276">
        <v>0</v>
      </c>
      <c r="K11" s="276">
        <v>0</v>
      </c>
      <c r="L11" s="276">
        <f t="shared" si="1"/>
        <v>18</v>
      </c>
      <c r="M11" s="276">
        <f t="shared" si="1"/>
        <v>3</v>
      </c>
      <c r="N11" s="462">
        <f t="shared" si="2"/>
        <v>85.71428571428571</v>
      </c>
      <c r="O11" s="464">
        <f t="shared" si="2"/>
        <v>50</v>
      </c>
      <c r="P11" s="276">
        <v>0</v>
      </c>
      <c r="Q11" s="276">
        <v>1</v>
      </c>
      <c r="R11" s="276">
        <v>0</v>
      </c>
      <c r="S11" s="276">
        <v>1</v>
      </c>
      <c r="T11" s="276">
        <v>0</v>
      </c>
      <c r="U11" s="276">
        <v>0</v>
      </c>
      <c r="V11" s="276">
        <v>0</v>
      </c>
      <c r="W11" s="276">
        <v>0</v>
      </c>
      <c r="X11" s="276">
        <v>0</v>
      </c>
      <c r="Y11" s="276">
        <v>0</v>
      </c>
      <c r="Z11" s="276">
        <v>0</v>
      </c>
      <c r="AA11" s="276">
        <v>0</v>
      </c>
      <c r="AB11" s="276">
        <v>0</v>
      </c>
      <c r="AC11" s="276">
        <v>0</v>
      </c>
      <c r="AD11" s="276">
        <v>0</v>
      </c>
      <c r="AE11" s="276">
        <v>0</v>
      </c>
      <c r="AF11" s="276">
        <v>15</v>
      </c>
      <c r="AG11" s="276">
        <v>1</v>
      </c>
      <c r="AH11" s="276">
        <v>2</v>
      </c>
      <c r="AI11" s="276">
        <v>1</v>
      </c>
      <c r="AJ11" s="276">
        <v>1</v>
      </c>
      <c r="AK11" s="277">
        <v>0</v>
      </c>
    </row>
    <row r="12" spans="2:37" s="106" customFormat="1" ht="19.5" customHeight="1">
      <c r="B12" s="920"/>
      <c r="C12" s="113" t="s">
        <v>460</v>
      </c>
      <c r="D12" s="463">
        <v>4611</v>
      </c>
      <c r="E12" s="463">
        <f>219+138+91</f>
        <v>448</v>
      </c>
      <c r="F12" s="276">
        <v>4546</v>
      </c>
      <c r="G12" s="276">
        <f>214+137+84</f>
        <v>435</v>
      </c>
      <c r="H12" s="276">
        <v>64</v>
      </c>
      <c r="I12" s="276">
        <f>5+1+7</f>
        <v>13</v>
      </c>
      <c r="J12" s="276">
        <v>1</v>
      </c>
      <c r="K12" s="276">
        <v>0</v>
      </c>
      <c r="L12" s="276">
        <f t="shared" si="1"/>
        <v>59</v>
      </c>
      <c r="M12" s="276">
        <f t="shared" si="1"/>
        <v>9</v>
      </c>
      <c r="N12" s="464">
        <f t="shared" si="2"/>
        <v>92.1875</v>
      </c>
      <c r="O12" s="464">
        <f>IF(I12=0,0,M12/I12*100)</f>
        <v>69.23076923076923</v>
      </c>
      <c r="P12" s="276">
        <v>9</v>
      </c>
      <c r="Q12" s="276">
        <v>0</v>
      </c>
      <c r="R12" s="276">
        <v>5</v>
      </c>
      <c r="S12" s="276">
        <v>0</v>
      </c>
      <c r="T12" s="276">
        <v>1</v>
      </c>
      <c r="U12" s="276">
        <v>0</v>
      </c>
      <c r="V12" s="276">
        <v>0</v>
      </c>
      <c r="W12" s="276">
        <v>0</v>
      </c>
      <c r="X12" s="276">
        <v>3</v>
      </c>
      <c r="Y12" s="276">
        <v>0</v>
      </c>
      <c r="Z12" s="276">
        <v>0</v>
      </c>
      <c r="AA12" s="276">
        <v>0</v>
      </c>
      <c r="AB12" s="276">
        <v>0</v>
      </c>
      <c r="AC12" s="276">
        <v>0</v>
      </c>
      <c r="AD12" s="276">
        <v>0</v>
      </c>
      <c r="AE12" s="276">
        <v>0</v>
      </c>
      <c r="AF12" s="276">
        <v>36</v>
      </c>
      <c r="AG12" s="276">
        <f>2+3</f>
        <v>5</v>
      </c>
      <c r="AH12" s="276">
        <v>12</v>
      </c>
      <c r="AI12" s="276">
        <f>1+1+1</f>
        <v>3</v>
      </c>
      <c r="AJ12" s="276">
        <v>2</v>
      </c>
      <c r="AK12" s="277">
        <v>1</v>
      </c>
    </row>
    <row r="13" spans="2:37" s="106" customFormat="1" ht="19.5" customHeight="1">
      <c r="B13" s="920"/>
      <c r="C13" s="107" t="s">
        <v>71</v>
      </c>
      <c r="D13" s="278">
        <f aca="true" t="shared" si="3" ref="D13:M13">SUM(D6:D12)</f>
        <v>8966</v>
      </c>
      <c r="E13" s="278">
        <f t="shared" si="3"/>
        <v>1285</v>
      </c>
      <c r="F13" s="278">
        <f t="shared" si="3"/>
        <v>8864</v>
      </c>
      <c r="G13" s="278">
        <f t="shared" si="3"/>
        <v>1263</v>
      </c>
      <c r="H13" s="278">
        <f t="shared" si="3"/>
        <v>100</v>
      </c>
      <c r="I13" s="278">
        <f t="shared" si="3"/>
        <v>22</v>
      </c>
      <c r="J13" s="278">
        <f t="shared" si="3"/>
        <v>2</v>
      </c>
      <c r="K13" s="278">
        <f t="shared" si="3"/>
        <v>0</v>
      </c>
      <c r="L13" s="278">
        <f t="shared" si="3"/>
        <v>92</v>
      </c>
      <c r="M13" s="278">
        <f t="shared" si="3"/>
        <v>12</v>
      </c>
      <c r="N13" s="465">
        <f t="shared" si="2"/>
        <v>92</v>
      </c>
      <c r="O13" s="462">
        <f t="shared" si="2"/>
        <v>54.54545454545454</v>
      </c>
      <c r="P13" s="279">
        <f>SUM(P6:P12)</f>
        <v>9</v>
      </c>
      <c r="Q13" s="278">
        <f>SUM(Q6:Q12)</f>
        <v>1</v>
      </c>
      <c r="R13" s="278">
        <f>SUM(R6:R12)</f>
        <v>5</v>
      </c>
      <c r="S13" s="278">
        <f aca="true" t="shared" si="4" ref="S13:AC13">SUM(S6:S12)</f>
        <v>1</v>
      </c>
      <c r="T13" s="278">
        <f t="shared" si="4"/>
        <v>1</v>
      </c>
      <c r="U13" s="278">
        <f t="shared" si="4"/>
        <v>0</v>
      </c>
      <c r="V13" s="278">
        <f>SUM(V6:V12)</f>
        <v>0</v>
      </c>
      <c r="W13" s="278">
        <f>SUM(W6:W12)</f>
        <v>0</v>
      </c>
      <c r="X13" s="278">
        <f>SUM(X6:X12)</f>
        <v>3</v>
      </c>
      <c r="Y13" s="278">
        <f t="shared" si="4"/>
        <v>0</v>
      </c>
      <c r="Z13" s="278">
        <v>0</v>
      </c>
      <c r="AA13" s="278">
        <f t="shared" si="4"/>
        <v>0</v>
      </c>
      <c r="AB13" s="278">
        <f t="shared" si="4"/>
        <v>1</v>
      </c>
      <c r="AC13" s="278">
        <f t="shared" si="4"/>
        <v>0</v>
      </c>
      <c r="AD13" s="278">
        <f aca="true" t="shared" si="5" ref="AD13:AK13">SUM(AD6:AD12)</f>
        <v>0</v>
      </c>
      <c r="AE13" s="278">
        <f t="shared" si="5"/>
        <v>0</v>
      </c>
      <c r="AF13" s="278">
        <f>SUM(AF6:AF12)</f>
        <v>62</v>
      </c>
      <c r="AG13" s="278">
        <f>SUM(AG6:AG12)</f>
        <v>6</v>
      </c>
      <c r="AH13" s="278">
        <f>SUM(AH6:AH12)</f>
        <v>17</v>
      </c>
      <c r="AI13" s="278">
        <f>SUM(AI6:AI12)</f>
        <v>4</v>
      </c>
      <c r="AJ13" s="278">
        <f t="shared" si="5"/>
        <v>3</v>
      </c>
      <c r="AK13" s="280">
        <f t="shared" si="5"/>
        <v>1</v>
      </c>
    </row>
    <row r="14" spans="2:37" s="106" customFormat="1" ht="19.5" customHeight="1">
      <c r="B14" s="913" t="s">
        <v>72</v>
      </c>
      <c r="C14" s="112" t="s">
        <v>189</v>
      </c>
      <c r="D14" s="461">
        <v>256</v>
      </c>
      <c r="E14" s="461">
        <v>540</v>
      </c>
      <c r="F14" s="274">
        <v>256</v>
      </c>
      <c r="G14" s="274">
        <v>536</v>
      </c>
      <c r="H14" s="274">
        <v>0</v>
      </c>
      <c r="I14" s="274">
        <v>4</v>
      </c>
      <c r="J14" s="274">
        <v>0</v>
      </c>
      <c r="K14" s="274">
        <v>0</v>
      </c>
      <c r="L14" s="274">
        <f>+P14+AB14+AD14+AF14+AH14+AJ14</f>
        <v>0</v>
      </c>
      <c r="M14" s="274">
        <f>+Q14+AC14+AE14+AG14+AI14+AK14</f>
        <v>3</v>
      </c>
      <c r="N14" s="462">
        <f aca="true" t="shared" si="6" ref="N14:N21">IF(H14=0,0,L14/H14*100)</f>
        <v>0</v>
      </c>
      <c r="O14" s="466">
        <f aca="true" t="shared" si="7" ref="O14:O21">IF(I14=0,0,M14/I14*100)</f>
        <v>75</v>
      </c>
      <c r="P14" s="274">
        <v>0</v>
      </c>
      <c r="Q14" s="274">
        <v>0</v>
      </c>
      <c r="R14" s="274">
        <v>0</v>
      </c>
      <c r="S14" s="274">
        <v>0</v>
      </c>
      <c r="T14" s="274">
        <v>0</v>
      </c>
      <c r="U14" s="274">
        <v>0</v>
      </c>
      <c r="V14" s="274">
        <v>0</v>
      </c>
      <c r="W14" s="274">
        <v>0</v>
      </c>
      <c r="X14" s="274">
        <v>0</v>
      </c>
      <c r="Y14" s="274">
        <v>0</v>
      </c>
      <c r="Z14" s="274">
        <v>0</v>
      </c>
      <c r="AA14" s="274">
        <v>0</v>
      </c>
      <c r="AB14" s="274">
        <v>0</v>
      </c>
      <c r="AC14" s="274">
        <v>0</v>
      </c>
      <c r="AD14" s="274">
        <v>0</v>
      </c>
      <c r="AE14" s="274">
        <v>0</v>
      </c>
      <c r="AF14" s="274">
        <v>0</v>
      </c>
      <c r="AG14" s="274">
        <v>3</v>
      </c>
      <c r="AH14" s="274">
        <v>0</v>
      </c>
      <c r="AI14" s="274">
        <v>0</v>
      </c>
      <c r="AJ14" s="274">
        <v>0</v>
      </c>
      <c r="AK14" s="277">
        <v>0</v>
      </c>
    </row>
    <row r="15" spans="2:37" s="106" customFormat="1" ht="19.5" customHeight="1">
      <c r="B15" s="914"/>
      <c r="C15" s="113" t="s">
        <v>444</v>
      </c>
      <c r="D15" s="463">
        <v>346</v>
      </c>
      <c r="E15" s="463">
        <v>531</v>
      </c>
      <c r="F15" s="276">
        <v>346</v>
      </c>
      <c r="G15" s="276">
        <v>526</v>
      </c>
      <c r="H15" s="276">
        <v>0</v>
      </c>
      <c r="I15" s="276">
        <v>5</v>
      </c>
      <c r="J15" s="276">
        <v>0</v>
      </c>
      <c r="K15" s="276">
        <v>0</v>
      </c>
      <c r="L15" s="276">
        <f aca="true" t="shared" si="8" ref="L15:M20">+P15+AB15+AD15+AF15+AH15+AJ15</f>
        <v>0</v>
      </c>
      <c r="M15" s="276">
        <f t="shared" si="8"/>
        <v>3</v>
      </c>
      <c r="N15" s="462">
        <f t="shared" si="6"/>
        <v>0</v>
      </c>
      <c r="O15" s="462">
        <f t="shared" si="7"/>
        <v>60</v>
      </c>
      <c r="P15" s="276">
        <v>0</v>
      </c>
      <c r="Q15" s="276">
        <v>0</v>
      </c>
      <c r="R15" s="276">
        <v>0</v>
      </c>
      <c r="S15" s="276">
        <v>0</v>
      </c>
      <c r="T15" s="276">
        <v>0</v>
      </c>
      <c r="U15" s="276">
        <v>0</v>
      </c>
      <c r="V15" s="276">
        <v>0</v>
      </c>
      <c r="W15" s="276">
        <v>0</v>
      </c>
      <c r="X15" s="276">
        <v>0</v>
      </c>
      <c r="Y15" s="276">
        <v>0</v>
      </c>
      <c r="Z15" s="276">
        <v>0</v>
      </c>
      <c r="AA15" s="276">
        <v>0</v>
      </c>
      <c r="AB15" s="276">
        <v>0</v>
      </c>
      <c r="AC15" s="276">
        <v>0</v>
      </c>
      <c r="AD15" s="276">
        <v>0</v>
      </c>
      <c r="AE15" s="276">
        <v>0</v>
      </c>
      <c r="AF15" s="276">
        <v>0</v>
      </c>
      <c r="AG15" s="276">
        <v>1</v>
      </c>
      <c r="AH15" s="276">
        <v>0</v>
      </c>
      <c r="AI15" s="276">
        <v>2</v>
      </c>
      <c r="AJ15" s="276">
        <v>0</v>
      </c>
      <c r="AK15" s="277">
        <v>0</v>
      </c>
    </row>
    <row r="16" spans="2:37" s="106" customFormat="1" ht="19.5" customHeight="1">
      <c r="B16" s="915"/>
      <c r="C16" s="113" t="s">
        <v>445</v>
      </c>
      <c r="D16" s="463">
        <v>397</v>
      </c>
      <c r="E16" s="463">
        <v>370</v>
      </c>
      <c r="F16" s="276">
        <v>393</v>
      </c>
      <c r="G16" s="276">
        <v>369</v>
      </c>
      <c r="H16" s="276">
        <v>4</v>
      </c>
      <c r="I16" s="276">
        <v>1</v>
      </c>
      <c r="J16" s="276">
        <v>0</v>
      </c>
      <c r="K16" s="276">
        <v>0</v>
      </c>
      <c r="L16" s="276">
        <f t="shared" si="8"/>
        <v>4</v>
      </c>
      <c r="M16" s="276">
        <f t="shared" si="8"/>
        <v>1</v>
      </c>
      <c r="N16" s="462">
        <f t="shared" si="6"/>
        <v>100</v>
      </c>
      <c r="O16" s="464">
        <f t="shared" si="7"/>
        <v>100</v>
      </c>
      <c r="P16" s="276">
        <v>0</v>
      </c>
      <c r="Q16" s="276">
        <v>0</v>
      </c>
      <c r="R16" s="276">
        <v>0</v>
      </c>
      <c r="S16" s="276">
        <v>0</v>
      </c>
      <c r="T16" s="276">
        <v>0</v>
      </c>
      <c r="U16" s="276">
        <v>0</v>
      </c>
      <c r="V16" s="276">
        <v>0</v>
      </c>
      <c r="W16" s="276">
        <v>0</v>
      </c>
      <c r="X16" s="276">
        <v>0</v>
      </c>
      <c r="Y16" s="276">
        <v>0</v>
      </c>
      <c r="Z16" s="276">
        <v>0</v>
      </c>
      <c r="AA16" s="276">
        <v>0</v>
      </c>
      <c r="AB16" s="276">
        <v>0</v>
      </c>
      <c r="AC16" s="276">
        <v>0</v>
      </c>
      <c r="AD16" s="276">
        <v>0</v>
      </c>
      <c r="AE16" s="276">
        <v>0</v>
      </c>
      <c r="AF16" s="276">
        <v>2</v>
      </c>
      <c r="AG16" s="276">
        <v>0</v>
      </c>
      <c r="AH16" s="276">
        <v>2</v>
      </c>
      <c r="AI16" s="276">
        <v>1</v>
      </c>
      <c r="AJ16" s="276">
        <v>0</v>
      </c>
      <c r="AK16" s="277">
        <v>0</v>
      </c>
    </row>
    <row r="17" spans="2:37" s="106" customFormat="1" ht="19.5" customHeight="1">
      <c r="B17" s="915"/>
      <c r="C17" s="113" t="s">
        <v>446</v>
      </c>
      <c r="D17" s="463">
        <v>1408</v>
      </c>
      <c r="E17" s="463">
        <v>369</v>
      </c>
      <c r="F17" s="276">
        <v>1398</v>
      </c>
      <c r="G17" s="276">
        <v>369</v>
      </c>
      <c r="H17" s="276">
        <v>10</v>
      </c>
      <c r="I17" s="276">
        <v>0</v>
      </c>
      <c r="J17" s="276">
        <v>0</v>
      </c>
      <c r="K17" s="276">
        <v>0</v>
      </c>
      <c r="L17" s="276">
        <f t="shared" si="8"/>
        <v>10</v>
      </c>
      <c r="M17" s="276">
        <f t="shared" si="8"/>
        <v>0</v>
      </c>
      <c r="N17" s="462">
        <f t="shared" si="6"/>
        <v>100</v>
      </c>
      <c r="O17" s="462">
        <f t="shared" si="7"/>
        <v>0</v>
      </c>
      <c r="P17" s="276">
        <v>0</v>
      </c>
      <c r="Q17" s="276">
        <v>0</v>
      </c>
      <c r="R17" s="276">
        <v>0</v>
      </c>
      <c r="S17" s="276">
        <v>0</v>
      </c>
      <c r="T17" s="276">
        <v>0</v>
      </c>
      <c r="U17" s="276">
        <v>0</v>
      </c>
      <c r="V17" s="276">
        <v>0</v>
      </c>
      <c r="W17" s="276">
        <v>0</v>
      </c>
      <c r="X17" s="276">
        <v>0</v>
      </c>
      <c r="Y17" s="276">
        <v>0</v>
      </c>
      <c r="Z17" s="276">
        <v>0</v>
      </c>
      <c r="AA17" s="276">
        <v>0</v>
      </c>
      <c r="AB17" s="276">
        <v>0</v>
      </c>
      <c r="AC17" s="276">
        <v>0</v>
      </c>
      <c r="AD17" s="276">
        <v>0</v>
      </c>
      <c r="AE17" s="276">
        <v>0</v>
      </c>
      <c r="AF17" s="276">
        <v>6</v>
      </c>
      <c r="AG17" s="276">
        <v>0</v>
      </c>
      <c r="AH17" s="276">
        <v>3</v>
      </c>
      <c r="AI17" s="276">
        <v>0</v>
      </c>
      <c r="AJ17" s="276">
        <v>1</v>
      </c>
      <c r="AK17" s="277">
        <v>0</v>
      </c>
    </row>
    <row r="18" spans="2:37" s="106" customFormat="1" ht="19.5" customHeight="1">
      <c r="B18" s="915"/>
      <c r="C18" s="113" t="s">
        <v>447</v>
      </c>
      <c r="D18" s="463">
        <v>2428</v>
      </c>
      <c r="E18" s="463">
        <v>427</v>
      </c>
      <c r="F18" s="276">
        <v>2414</v>
      </c>
      <c r="G18" s="276">
        <v>420</v>
      </c>
      <c r="H18" s="276">
        <v>14</v>
      </c>
      <c r="I18" s="276">
        <v>7</v>
      </c>
      <c r="J18" s="276">
        <v>0</v>
      </c>
      <c r="K18" s="276">
        <v>0</v>
      </c>
      <c r="L18" s="276">
        <f t="shared" si="8"/>
        <v>13</v>
      </c>
      <c r="M18" s="276">
        <f t="shared" si="8"/>
        <v>4</v>
      </c>
      <c r="N18" s="464">
        <f t="shared" si="6"/>
        <v>92.85714285714286</v>
      </c>
      <c r="O18" s="464">
        <f t="shared" si="7"/>
        <v>57.14285714285714</v>
      </c>
      <c r="P18" s="276">
        <v>0</v>
      </c>
      <c r="Q18" s="276">
        <v>0</v>
      </c>
      <c r="R18" s="276">
        <v>0</v>
      </c>
      <c r="S18" s="276">
        <v>0</v>
      </c>
      <c r="T18" s="276">
        <v>0</v>
      </c>
      <c r="U18" s="276">
        <v>0</v>
      </c>
      <c r="V18" s="276">
        <v>0</v>
      </c>
      <c r="W18" s="276">
        <v>0</v>
      </c>
      <c r="X18" s="276">
        <v>0</v>
      </c>
      <c r="Y18" s="276">
        <v>0</v>
      </c>
      <c r="Z18" s="276">
        <v>0</v>
      </c>
      <c r="AA18" s="276">
        <v>0</v>
      </c>
      <c r="AB18" s="276">
        <v>0</v>
      </c>
      <c r="AC18" s="276">
        <v>0</v>
      </c>
      <c r="AD18" s="276">
        <v>0</v>
      </c>
      <c r="AE18" s="276">
        <v>0</v>
      </c>
      <c r="AF18" s="276">
        <v>11</v>
      </c>
      <c r="AG18" s="276">
        <v>3</v>
      </c>
      <c r="AH18" s="276">
        <v>2</v>
      </c>
      <c r="AI18" s="276">
        <v>1</v>
      </c>
      <c r="AJ18" s="276">
        <v>0</v>
      </c>
      <c r="AK18" s="277">
        <v>0</v>
      </c>
    </row>
    <row r="19" spans="2:37" s="106" customFormat="1" ht="19.5" customHeight="1">
      <c r="B19" s="915"/>
      <c r="C19" s="113" t="s">
        <v>448</v>
      </c>
      <c r="D19" s="463">
        <v>4514</v>
      </c>
      <c r="E19" s="463">
        <v>503</v>
      </c>
      <c r="F19" s="276">
        <v>4471</v>
      </c>
      <c r="G19" s="276">
        <v>492</v>
      </c>
      <c r="H19" s="276">
        <v>43</v>
      </c>
      <c r="I19" s="276">
        <v>11</v>
      </c>
      <c r="J19" s="276">
        <v>0</v>
      </c>
      <c r="K19" s="276">
        <v>0</v>
      </c>
      <c r="L19" s="276">
        <f t="shared" si="8"/>
        <v>42</v>
      </c>
      <c r="M19" s="276">
        <f t="shared" si="8"/>
        <v>11</v>
      </c>
      <c r="N19" s="462">
        <f t="shared" si="6"/>
        <v>97.67441860465115</v>
      </c>
      <c r="O19" s="464">
        <f t="shared" si="7"/>
        <v>100</v>
      </c>
      <c r="P19" s="276">
        <v>2</v>
      </c>
      <c r="Q19" s="276">
        <v>2</v>
      </c>
      <c r="R19" s="276">
        <v>1</v>
      </c>
      <c r="S19" s="276">
        <v>0</v>
      </c>
      <c r="T19" s="276">
        <v>0</v>
      </c>
      <c r="U19" s="276">
        <v>1</v>
      </c>
      <c r="V19" s="276">
        <v>0</v>
      </c>
      <c r="W19" s="276">
        <v>0</v>
      </c>
      <c r="X19" s="276">
        <v>1</v>
      </c>
      <c r="Y19" s="276">
        <v>1</v>
      </c>
      <c r="Z19" s="276">
        <v>0</v>
      </c>
      <c r="AA19" s="276">
        <v>0</v>
      </c>
      <c r="AB19" s="276">
        <v>0</v>
      </c>
      <c r="AC19" s="276">
        <v>0</v>
      </c>
      <c r="AD19" s="276">
        <v>1</v>
      </c>
      <c r="AE19" s="276">
        <v>0</v>
      </c>
      <c r="AF19" s="276">
        <v>25</v>
      </c>
      <c r="AG19" s="276">
        <v>4</v>
      </c>
      <c r="AH19" s="276">
        <v>13</v>
      </c>
      <c r="AI19" s="276">
        <v>5</v>
      </c>
      <c r="AJ19" s="276">
        <v>1</v>
      </c>
      <c r="AK19" s="277">
        <v>0</v>
      </c>
    </row>
    <row r="20" spans="2:37" s="106" customFormat="1" ht="19.5" customHeight="1">
      <c r="B20" s="915"/>
      <c r="C20" s="113" t="s">
        <v>460</v>
      </c>
      <c r="D20" s="463">
        <v>6953</v>
      </c>
      <c r="E20" s="463">
        <f>388+180+93</f>
        <v>661</v>
      </c>
      <c r="F20" s="276">
        <v>6865</v>
      </c>
      <c r="G20" s="276">
        <f>375+178+90</f>
        <v>643</v>
      </c>
      <c r="H20" s="276">
        <v>88</v>
      </c>
      <c r="I20" s="276">
        <f>13+2+3</f>
        <v>18</v>
      </c>
      <c r="J20" s="276">
        <v>0</v>
      </c>
      <c r="K20" s="276">
        <v>0</v>
      </c>
      <c r="L20" s="276">
        <f t="shared" si="8"/>
        <v>79</v>
      </c>
      <c r="M20" s="276">
        <f t="shared" si="8"/>
        <v>14</v>
      </c>
      <c r="N20" s="464">
        <f t="shared" si="6"/>
        <v>89.77272727272727</v>
      </c>
      <c r="O20" s="464">
        <f t="shared" si="7"/>
        <v>77.77777777777779</v>
      </c>
      <c r="P20" s="276">
        <v>7</v>
      </c>
      <c r="Q20" s="276">
        <v>0</v>
      </c>
      <c r="R20" s="276">
        <v>5</v>
      </c>
      <c r="S20" s="276">
        <v>0</v>
      </c>
      <c r="T20" s="276">
        <v>0</v>
      </c>
      <c r="U20" s="276">
        <v>0</v>
      </c>
      <c r="V20" s="276">
        <v>0</v>
      </c>
      <c r="W20" s="276">
        <v>0</v>
      </c>
      <c r="X20" s="276">
        <v>2</v>
      </c>
      <c r="Y20" s="276">
        <v>0</v>
      </c>
      <c r="Z20" s="276">
        <v>0</v>
      </c>
      <c r="AA20" s="276">
        <v>0</v>
      </c>
      <c r="AB20" s="276">
        <v>0</v>
      </c>
      <c r="AC20" s="276">
        <v>0</v>
      </c>
      <c r="AD20" s="276">
        <v>4</v>
      </c>
      <c r="AE20" s="276">
        <v>0</v>
      </c>
      <c r="AF20" s="276">
        <v>49</v>
      </c>
      <c r="AG20" s="276">
        <f>5+1</f>
        <v>6</v>
      </c>
      <c r="AH20" s="276">
        <v>18</v>
      </c>
      <c r="AI20" s="276">
        <f>6+2</f>
        <v>8</v>
      </c>
      <c r="AJ20" s="276">
        <v>1</v>
      </c>
      <c r="AK20" s="277">
        <v>0</v>
      </c>
    </row>
    <row r="21" spans="2:37" s="106" customFormat="1" ht="19.5" customHeight="1">
      <c r="B21" s="916"/>
      <c r="C21" s="107" t="s">
        <v>71</v>
      </c>
      <c r="D21" s="281">
        <f>SUM(F21+H21+J21)</f>
        <v>16302</v>
      </c>
      <c r="E21" s="281">
        <f aca="true" t="shared" si="9" ref="E21:M21">SUM(E14:E20)</f>
        <v>3401</v>
      </c>
      <c r="F21" s="279">
        <f t="shared" si="9"/>
        <v>16143</v>
      </c>
      <c r="G21" s="279">
        <f t="shared" si="9"/>
        <v>3355</v>
      </c>
      <c r="H21" s="279">
        <f t="shared" si="9"/>
        <v>159</v>
      </c>
      <c r="I21" s="279">
        <f t="shared" si="9"/>
        <v>46</v>
      </c>
      <c r="J21" s="279">
        <f t="shared" si="9"/>
        <v>0</v>
      </c>
      <c r="K21" s="279">
        <f t="shared" si="9"/>
        <v>0</v>
      </c>
      <c r="L21" s="279">
        <f t="shared" si="9"/>
        <v>148</v>
      </c>
      <c r="M21" s="279">
        <f t="shared" si="9"/>
        <v>36</v>
      </c>
      <c r="N21" s="282">
        <f t="shared" si="6"/>
        <v>93.08176100628931</v>
      </c>
      <c r="O21" s="282">
        <f t="shared" si="7"/>
        <v>78.26086956521739</v>
      </c>
      <c r="P21" s="279">
        <f>SUM(P14:P20)</f>
        <v>9</v>
      </c>
      <c r="Q21" s="279">
        <f>SUM(Q14:Q20)</f>
        <v>2</v>
      </c>
      <c r="R21" s="279">
        <f>SUM(R14:R20)</f>
        <v>6</v>
      </c>
      <c r="S21" s="279">
        <f aca="true" t="shared" si="10" ref="S21:AE21">SUM(S14:S20)</f>
        <v>0</v>
      </c>
      <c r="T21" s="279">
        <f>SUM(T14:T20)</f>
        <v>0</v>
      </c>
      <c r="U21" s="279">
        <f t="shared" si="10"/>
        <v>1</v>
      </c>
      <c r="V21" s="279">
        <f>SUM(V14:V20)</f>
        <v>0</v>
      </c>
      <c r="W21" s="279">
        <f t="shared" si="10"/>
        <v>0</v>
      </c>
      <c r="X21" s="279">
        <f>SUM(X14:X20)</f>
        <v>3</v>
      </c>
      <c r="Y21" s="279">
        <f>SUM(Y14:Y20)</f>
        <v>1</v>
      </c>
      <c r="Z21" s="279">
        <f>SUM(Z14:Z20)</f>
        <v>0</v>
      </c>
      <c r="AA21" s="279">
        <f>SUM(AA14:AA20)</f>
        <v>0</v>
      </c>
      <c r="AB21" s="279">
        <f t="shared" si="10"/>
        <v>0</v>
      </c>
      <c r="AC21" s="279">
        <f t="shared" si="10"/>
        <v>0</v>
      </c>
      <c r="AD21" s="279">
        <f>SUM(AD14:AD20)</f>
        <v>5</v>
      </c>
      <c r="AE21" s="279">
        <f t="shared" si="10"/>
        <v>0</v>
      </c>
      <c r="AF21" s="279">
        <f aca="true" t="shared" si="11" ref="AF21:AK21">SUM(AF14:AF20)</f>
        <v>93</v>
      </c>
      <c r="AG21" s="279">
        <f t="shared" si="11"/>
        <v>17</v>
      </c>
      <c r="AH21" s="279">
        <f t="shared" si="11"/>
        <v>38</v>
      </c>
      <c r="AI21" s="279">
        <f t="shared" si="11"/>
        <v>17</v>
      </c>
      <c r="AJ21" s="279">
        <f t="shared" si="11"/>
        <v>3</v>
      </c>
      <c r="AK21" s="280">
        <f t="shared" si="11"/>
        <v>0</v>
      </c>
    </row>
    <row r="22" spans="2:37" s="106" customFormat="1" ht="19.5" customHeight="1">
      <c r="B22" s="917" t="s">
        <v>73</v>
      </c>
      <c r="C22" s="918"/>
      <c r="D22" s="283">
        <f aca="true" t="shared" si="12" ref="D22:M22">D13+D21</f>
        <v>25268</v>
      </c>
      <c r="E22" s="281">
        <f t="shared" si="12"/>
        <v>4686</v>
      </c>
      <c r="F22" s="284">
        <f t="shared" si="12"/>
        <v>25007</v>
      </c>
      <c r="G22" s="284">
        <f t="shared" si="12"/>
        <v>4618</v>
      </c>
      <c r="H22" s="284">
        <f t="shared" si="12"/>
        <v>259</v>
      </c>
      <c r="I22" s="284">
        <f t="shared" si="12"/>
        <v>68</v>
      </c>
      <c r="J22" s="284">
        <f t="shared" si="12"/>
        <v>2</v>
      </c>
      <c r="K22" s="284">
        <f t="shared" si="12"/>
        <v>0</v>
      </c>
      <c r="L22" s="284">
        <f t="shared" si="12"/>
        <v>240</v>
      </c>
      <c r="M22" s="284">
        <f t="shared" si="12"/>
        <v>48</v>
      </c>
      <c r="N22" s="282">
        <f>L22/H22*100</f>
        <v>92.66409266409266</v>
      </c>
      <c r="O22" s="282">
        <f>M22/I22*100</f>
        <v>70.58823529411765</v>
      </c>
      <c r="P22" s="284">
        <f aca="true" t="shared" si="13" ref="P22:W22">P13+P21</f>
        <v>18</v>
      </c>
      <c r="Q22" s="284">
        <f t="shared" si="13"/>
        <v>3</v>
      </c>
      <c r="R22" s="284">
        <f t="shared" si="13"/>
        <v>11</v>
      </c>
      <c r="S22" s="284">
        <f t="shared" si="13"/>
        <v>1</v>
      </c>
      <c r="T22" s="284">
        <f t="shared" si="13"/>
        <v>1</v>
      </c>
      <c r="U22" s="284">
        <f t="shared" si="13"/>
        <v>1</v>
      </c>
      <c r="V22" s="284">
        <f t="shared" si="13"/>
        <v>0</v>
      </c>
      <c r="W22" s="284">
        <f t="shared" si="13"/>
        <v>0</v>
      </c>
      <c r="X22" s="284">
        <f>X13+X21</f>
        <v>6</v>
      </c>
      <c r="Y22" s="284">
        <f>Y13+Y21</f>
        <v>1</v>
      </c>
      <c r="Z22" s="284">
        <f aca="true" t="shared" si="14" ref="Z22:AK22">Z13+Z21</f>
        <v>0</v>
      </c>
      <c r="AA22" s="284">
        <f t="shared" si="14"/>
        <v>0</v>
      </c>
      <c r="AB22" s="284">
        <f t="shared" si="14"/>
        <v>1</v>
      </c>
      <c r="AC22" s="284">
        <f t="shared" si="14"/>
        <v>0</v>
      </c>
      <c r="AD22" s="284">
        <f t="shared" si="14"/>
        <v>5</v>
      </c>
      <c r="AE22" s="284">
        <f t="shared" si="14"/>
        <v>0</v>
      </c>
      <c r="AF22" s="284">
        <f t="shared" si="14"/>
        <v>155</v>
      </c>
      <c r="AG22" s="284">
        <f t="shared" si="14"/>
        <v>23</v>
      </c>
      <c r="AH22" s="284">
        <f t="shared" si="14"/>
        <v>55</v>
      </c>
      <c r="AI22" s="284">
        <f t="shared" si="14"/>
        <v>21</v>
      </c>
      <c r="AJ22" s="284">
        <f t="shared" si="14"/>
        <v>6</v>
      </c>
      <c r="AK22" s="285">
        <f t="shared" si="14"/>
        <v>1</v>
      </c>
    </row>
    <row r="23" s="106" customFormat="1" ht="19.5" customHeight="1"/>
    <row r="24" ht="19.5" customHeight="1">
      <c r="AB24" s="106"/>
    </row>
    <row r="87" ht="15" customHeight="1"/>
    <row r="88" ht="15" customHeight="1"/>
    <row r="89" ht="15" customHeight="1"/>
    <row r="90" ht="15" customHeight="1"/>
    <row r="91" ht="15" customHeight="1"/>
    <row r="92" ht="15" customHeight="1"/>
  </sheetData>
  <sheetProtection/>
  <mergeCells count="24">
    <mergeCell ref="B2:B5"/>
    <mergeCell ref="C2:C5"/>
    <mergeCell ref="D2:E4"/>
    <mergeCell ref="F2:G4"/>
    <mergeCell ref="H2:I4"/>
    <mergeCell ref="J2:K4"/>
    <mergeCell ref="AJ2:AK4"/>
    <mergeCell ref="P3:Q4"/>
    <mergeCell ref="R3:AA3"/>
    <mergeCell ref="AB3:AC4"/>
    <mergeCell ref="AD3:AE4"/>
    <mergeCell ref="AF3:AG4"/>
    <mergeCell ref="AH3:AI4"/>
    <mergeCell ref="Z4:AA4"/>
    <mergeCell ref="B14:B21"/>
    <mergeCell ref="B22:C22"/>
    <mergeCell ref="R4:S4"/>
    <mergeCell ref="T4:U4"/>
    <mergeCell ref="V4:W4"/>
    <mergeCell ref="X4:Y4"/>
    <mergeCell ref="B6:B13"/>
    <mergeCell ref="L2:M4"/>
    <mergeCell ref="N2:O4"/>
    <mergeCell ref="P2:AI2"/>
  </mergeCells>
  <printOptions/>
  <pageMargins left="0.1968503937007874" right="0.1968503937007874" top="0.7480314960629921" bottom="0.7480314960629921" header="0.31496062992125984" footer="0.31496062992125984"/>
  <pageSetup firstPageNumber="83" useFirstPageNumber="1" fitToHeight="1" fitToWidth="1" horizontalDpi="600" verticalDpi="600" orientation="landscape" paperSize="9" scale="82" r:id="rId1"/>
  <headerFooter>
    <oddFooter>&amp;C&amp;P</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2019-12-20T02:13:55Z</cp:lastPrinted>
  <dcterms:created xsi:type="dcterms:W3CDTF">1997-01-08T22:48:59Z</dcterms:created>
  <dcterms:modified xsi:type="dcterms:W3CDTF">2019-12-20T02:14:15Z</dcterms:modified>
  <cp:category/>
  <cp:version/>
  <cp:contentType/>
  <cp:contentStatus/>
</cp:coreProperties>
</file>